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mc:AlternateContent xmlns:mc="http://schemas.openxmlformats.org/markup-compatibility/2006">
    <mc:Choice Requires="x15">
      <x15ac:absPath xmlns:x15ac="http://schemas.microsoft.com/office/spreadsheetml/2010/11/ac" url="C:\Users\Administrador\Desktop\DOCUMETOS PARA LA WEB\CRISTINA CONTREAS\05-10-2022\"/>
    </mc:Choice>
  </mc:AlternateContent>
  <xr:revisionPtr revIDLastSave="0" documentId="13_ncr:1_{2DD4DF75-13CB-41DA-B7C2-1328D91F75C9}" xr6:coauthVersionLast="47" xr6:coauthVersionMax="47" xr10:uidLastSave="{00000000-0000-0000-0000-000000000000}"/>
  <workbookProtection workbookAlgorithmName="SHA-512" workbookHashValue="lTZy1xiKcskJmdsbtzCVds9sEHZuZudhssN1aoylK4yk950xYCmxLVRytmKbeK9gUyL+Va7bhMJ9xjyUDZqPDA==" workbookSaltValue="21DXZxRM0yOkj/ZAboCErA==" workbookSpinCount="100000" lockStructure="1"/>
  <bookViews>
    <workbookView xWindow="-19308" yWindow="-108" windowWidth="19416" windowHeight="10416" xr2:uid="{00000000-000D-0000-FFFF-FFFF00000000}"/>
  </bookViews>
  <sheets>
    <sheet name="INICIO" sheetId="13" r:id="rId1"/>
    <sheet name="NACIONAL Y UN PAÍS  EXTRANJERO" sheetId="1" r:id="rId2"/>
    <sheet name="Datos1" sheetId="18" state="hidden" r:id="rId3"/>
    <sheet name="VARIOS PAÍSES EXTRANJERO" sheetId="14" state="hidden" r:id="rId4"/>
    <sheet name="INSTRUCCIONES" sheetId="4" state="hidden" r:id="rId5"/>
    <sheet name="ANEXO" sheetId="3" state="hidden" r:id="rId6"/>
    <sheet name="Datos3" sheetId="19" state="hidden" r:id="rId7"/>
    <sheet name="AYUDA DE DIETAS" sheetId="17" r:id="rId8"/>
    <sheet name="Declaracion responsable" sheetId="21" r:id="rId9"/>
    <sheet name="Ejemplo de anexo" sheetId="20" state="hidden" r:id="rId10"/>
    <sheet name="KM" sheetId="15" r:id="rId11"/>
    <sheet name="justifique su anticipo" sheetId="22" r:id="rId12"/>
    <sheet name="CONFERENCIANTES" sheetId="24" r:id="rId13"/>
    <sheet name="GLOBALIA" sheetId="25" state="hidden" r:id="rId14"/>
    <sheet name="IRPF" sheetId="26" r:id="rId15"/>
  </sheets>
  <definedNames>
    <definedName name="_xlnm._FilterDatabase" localSheetId="1" hidden="1">'NACIONAL Y UN PAÍS  EXTRANJERO'!$I$15:$J$20</definedName>
    <definedName name="_xlnm.Print_Area" localSheetId="12">CONFERENCIANTES!$B$1:$I$90</definedName>
    <definedName name="_xlnm.Print_Area" localSheetId="1">'NACIONAL Y UN PAÍS  EXTRANJERO'!$CR$1:$CY$160</definedName>
    <definedName name="_xlnm.Print_Area" localSheetId="3">'VARIOS PAÍSES EXTRANJERO'!$CQ$1:$CX$97</definedName>
    <definedName name="PAISES">ANEXO!$A$2:$A$100</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4" i="1" l="1"/>
  <c r="B20" i="1"/>
  <c r="B18" i="1"/>
  <c r="B16" i="1"/>
  <c r="B9" i="1"/>
  <c r="K28" i="1"/>
  <c r="L28" i="1" s="1"/>
  <c r="H28" i="1" s="1"/>
  <c r="E26" i="1"/>
  <c r="B42" i="1"/>
  <c r="B44" i="1"/>
  <c r="B29" i="1"/>
  <c r="C2" i="1"/>
  <c r="E41" i="1" s="1"/>
  <c r="B27" i="1"/>
  <c r="E27" i="1" s="1"/>
  <c r="E23" i="1"/>
  <c r="K37" i="24"/>
  <c r="K36" i="24"/>
  <c r="F35" i="1" l="1"/>
  <c r="E38" i="1"/>
  <c r="G27" i="1"/>
  <c r="K38" i="24"/>
  <c r="G34" i="24"/>
  <c r="O36" i="24"/>
  <c r="F36" i="24" l="1"/>
  <c r="F37" i="24"/>
  <c r="R15" i="24"/>
  <c r="R7" i="24"/>
  <c r="J28" i="25" l="1"/>
  <c r="J30" i="25"/>
  <c r="M30" i="25" s="1"/>
  <c r="D34" i="25" l="1"/>
  <c r="F34" i="25" l="1"/>
  <c r="C31" i="25" l="1"/>
  <c r="D31" i="25"/>
  <c r="E31" i="25"/>
  <c r="F31" i="25"/>
  <c r="G31" i="25"/>
  <c r="H31" i="25"/>
  <c r="B31" i="25"/>
  <c r="I30" i="25" s="1"/>
  <c r="C27" i="25"/>
  <c r="D27" i="25"/>
  <c r="E27" i="25"/>
  <c r="F27" i="25"/>
  <c r="G27" i="25"/>
  <c r="H27" i="25"/>
  <c r="B27" i="25"/>
  <c r="B23" i="25"/>
  <c r="C23" i="25"/>
  <c r="D23" i="25"/>
  <c r="E23" i="25"/>
  <c r="F23" i="25"/>
  <c r="G23" i="25"/>
  <c r="H23" i="25"/>
  <c r="I26" i="25" l="1"/>
  <c r="I22" i="25"/>
  <c r="C19" i="25"/>
  <c r="D19" i="25"/>
  <c r="E19" i="25"/>
  <c r="F19" i="25"/>
  <c r="G19" i="25"/>
  <c r="H19" i="25"/>
  <c r="B19" i="25"/>
  <c r="I18" i="25" l="1"/>
  <c r="J18" i="25" s="1"/>
  <c r="T26" i="24"/>
  <c r="S26" i="24"/>
  <c r="M18" i="25" l="1"/>
  <c r="J20" i="25" s="1"/>
  <c r="S27" i="24"/>
  <c r="L35" i="24" l="1"/>
  <c r="G69" i="24" l="1"/>
  <c r="K32" i="24" l="1"/>
  <c r="K31" i="24"/>
  <c r="B24" i="24"/>
  <c r="G30" i="24"/>
  <c r="E48" i="24"/>
  <c r="Q26" i="24"/>
  <c r="C39" i="24"/>
  <c r="L37" i="24" l="1"/>
  <c r="D116" i="24"/>
  <c r="C116" i="24"/>
  <c r="D115" i="24"/>
  <c r="C115" i="24"/>
  <c r="E114" i="24"/>
  <c r="G106" i="24"/>
  <c r="F110" i="24" s="1"/>
  <c r="F106" i="24"/>
  <c r="F108" i="24" s="1"/>
  <c r="D106" i="24"/>
  <c r="C106" i="24"/>
  <c r="G105" i="24"/>
  <c r="F109" i="24" s="1"/>
  <c r="F105" i="24"/>
  <c r="D105" i="24"/>
  <c r="C105" i="24"/>
  <c r="D100" i="24"/>
  <c r="C100" i="24"/>
  <c r="D99" i="24"/>
  <c r="C99" i="24"/>
  <c r="C69" i="24"/>
  <c r="L36" i="24"/>
  <c r="F31" i="24"/>
  <c r="M31" i="24" s="1"/>
  <c r="D30" i="24"/>
  <c r="U29" i="24"/>
  <c r="U28" i="24"/>
  <c r="U27" i="24"/>
  <c r="U26" i="24"/>
  <c r="U25" i="24"/>
  <c r="F2" i="24"/>
  <c r="E2" i="24" s="1"/>
  <c r="L39" i="24" l="1"/>
  <c r="L31" i="24"/>
  <c r="N31" i="24" s="1"/>
  <c r="E29" i="24"/>
  <c r="D120" i="24"/>
  <c r="D119" i="24"/>
  <c r="C96" i="24"/>
  <c r="D110" i="24"/>
  <c r="D109" i="24"/>
  <c r="D118" i="24"/>
  <c r="D108" i="24"/>
  <c r="I36" i="24" l="1"/>
  <c r="O35" i="24" s="1"/>
  <c r="O37" i="24" s="1"/>
  <c r="C38" i="24" s="1"/>
  <c r="M40" i="24"/>
  <c r="I32" i="24"/>
  <c r="F32" i="24"/>
  <c r="Q27" i="24" l="1"/>
  <c r="T27" i="24"/>
  <c r="M35" i="24"/>
  <c r="C11" i="24" s="1"/>
  <c r="I38" i="24"/>
  <c r="D67" i="24" l="1"/>
  <c r="H24" i="24" l="1"/>
  <c r="U30" i="24" s="1"/>
  <c r="C7" i="24"/>
  <c r="C8" i="24"/>
  <c r="I26" i="24"/>
  <c r="S25" i="24" s="1"/>
  <c r="S36" i="24" s="1"/>
  <c r="I43" i="24" s="1"/>
  <c r="C43" i="24"/>
  <c r="I25" i="24"/>
  <c r="T25" i="24" s="1"/>
  <c r="T36" i="24" s="1"/>
  <c r="B45" i="24" s="1"/>
  <c r="H39" i="24"/>
  <c r="Q29" i="24" s="1"/>
  <c r="I24" i="24" l="1"/>
  <c r="Q25" i="24" s="1"/>
  <c r="I39" i="24"/>
  <c r="Q28" i="24" s="1"/>
  <c r="I27" i="24"/>
  <c r="V25" i="24" s="1"/>
  <c r="Q31" i="24" l="1"/>
  <c r="I41" i="24" s="1"/>
  <c r="R31" i="24"/>
  <c r="E20" i="1"/>
  <c r="B32" i="1"/>
  <c r="B17" i="1"/>
  <c r="B15" i="1"/>
  <c r="B13" i="1"/>
  <c r="B12" i="1"/>
  <c r="B11" i="1"/>
  <c r="B44" i="24" l="1"/>
  <c r="N37" i="14"/>
  <c r="N50" i="14"/>
  <c r="M67" i="1" l="1"/>
  <c r="U2" i="1"/>
  <c r="U3" i="1"/>
  <c r="N11" i="1"/>
  <c r="E18" i="1" s="1"/>
  <c r="V12" i="1"/>
  <c r="W12" i="1"/>
  <c r="AA12" i="1"/>
  <c r="V13" i="1"/>
  <c r="W13" i="1"/>
  <c r="AA13" i="1"/>
  <c r="AB13" i="1"/>
  <c r="V14" i="1"/>
  <c r="W14" i="1"/>
  <c r="AA14" i="1"/>
  <c r="AB14" i="1"/>
  <c r="V21" i="1"/>
  <c r="W21" i="1"/>
  <c r="AA21" i="1"/>
  <c r="W22" i="1"/>
  <c r="AA22" i="1"/>
  <c r="V23" i="1"/>
  <c r="W23" i="1"/>
  <c r="AA23" i="1"/>
  <c r="AB23" i="1"/>
  <c r="AC23" i="1" s="1"/>
  <c r="W27" i="1"/>
  <c r="Z27" i="1"/>
  <c r="W28" i="1"/>
  <c r="Z28" i="1"/>
  <c r="W30" i="1"/>
  <c r="W31" i="1"/>
  <c r="W32" i="1"/>
  <c r="V38" i="1"/>
  <c r="W38" i="1"/>
  <c r="AA38" i="1"/>
  <c r="V39" i="1"/>
  <c r="W39" i="1"/>
  <c r="AA39" i="1"/>
  <c r="AB39" i="1"/>
  <c r="M40" i="1"/>
  <c r="F33" i="1" s="1"/>
  <c r="V40" i="1"/>
  <c r="W40" i="1"/>
  <c r="AA40" i="1"/>
  <c r="AB40" i="1"/>
  <c r="AD40" i="1" s="1"/>
  <c r="AG48" i="1"/>
  <c r="AF48" i="1" s="1"/>
  <c r="AG49" i="1"/>
  <c r="AF49" i="1" s="1"/>
  <c r="W50" i="1"/>
  <c r="X50" i="1" s="1"/>
  <c r="X51" i="1"/>
  <c r="W52" i="1"/>
  <c r="V52" i="1" s="1"/>
  <c r="W53" i="1"/>
  <c r="X53" i="1" s="1"/>
  <c r="W54" i="1"/>
  <c r="X54" i="1" s="1"/>
  <c r="X55" i="1"/>
  <c r="W56" i="1"/>
  <c r="X56" i="1" s="1"/>
  <c r="W57" i="1"/>
  <c r="X57" i="1" s="1"/>
  <c r="W62" i="1"/>
  <c r="W63" i="1"/>
  <c r="V65" i="1"/>
  <c r="W65" i="1"/>
  <c r="AA65" i="1"/>
  <c r="W66" i="1"/>
  <c r="AA66" i="1"/>
  <c r="V67" i="1"/>
  <c r="W67" i="1"/>
  <c r="AA67" i="1"/>
  <c r="AB67" i="1"/>
  <c r="AC67" i="1" s="1"/>
  <c r="V69" i="1"/>
  <c r="V43" i="1" l="1"/>
  <c r="AM41" i="1"/>
  <c r="AM28" i="1" s="1"/>
  <c r="AI40" i="1"/>
  <c r="AC40" i="1"/>
  <c r="V57" i="1"/>
  <c r="V53" i="1"/>
  <c r="AC39" i="1"/>
  <c r="AJ50" i="1"/>
  <c r="AK50" i="1" s="1"/>
  <c r="AJ56" i="1"/>
  <c r="AK56" i="1" s="1"/>
  <c r="AJ49" i="1"/>
  <c r="AK49" i="1" s="1"/>
  <c r="AJ54" i="1"/>
  <c r="AK54" i="1" s="1"/>
  <c r="AJ59" i="1"/>
  <c r="AK59" i="1" s="1"/>
  <c r="AG50" i="1"/>
  <c r="AD42" i="1"/>
  <c r="V29" i="1"/>
  <c r="AC14" i="1"/>
  <c r="V31" i="1"/>
  <c r="AC13" i="1"/>
  <c r="AJ57" i="1"/>
  <c r="AK57" i="1" s="1"/>
  <c r="V56" i="1"/>
  <c r="V54" i="1"/>
  <c r="X52" i="1"/>
  <c r="AJ51" i="1"/>
  <c r="AK51" i="1" s="1"/>
  <c r="V50" i="1"/>
  <c r="AJ58" i="1"/>
  <c r="AK58" i="1" s="1"/>
  <c r="AJ52" i="1"/>
  <c r="AK52" i="1" s="1"/>
  <c r="AJ48" i="1"/>
  <c r="AK48" i="1" s="1"/>
  <c r="AJ55" i="1"/>
  <c r="AK55" i="1" s="1"/>
  <c r="AJ53" i="1"/>
  <c r="AK53" i="1" s="1"/>
  <c r="AF51" i="1" l="1"/>
  <c r="AH60" i="1"/>
  <c r="V22" i="1"/>
  <c r="G23" i="14" l="1"/>
  <c r="CT54" i="14" l="1"/>
  <c r="CT52" i="14"/>
  <c r="CR54" i="14"/>
  <c r="CR52" i="14"/>
  <c r="V32" i="1" l="1"/>
  <c r="AQ24" i="14" l="1"/>
  <c r="CR83" i="14" l="1"/>
  <c r="C131" i="14" l="1"/>
  <c r="B131" i="14"/>
  <c r="H130" i="14"/>
  <c r="C130" i="14"/>
  <c r="H128" i="14"/>
  <c r="C128" i="14"/>
  <c r="AB90" i="14"/>
  <c r="AB91" i="14"/>
  <c r="AB92" i="14"/>
  <c r="AB93" i="14"/>
  <c r="AB94" i="14"/>
  <c r="AB95" i="14"/>
  <c r="AB97" i="14"/>
  <c r="AB98" i="14"/>
  <c r="X95" i="14"/>
  <c r="Y95" i="14" s="1"/>
  <c r="X91" i="14"/>
  <c r="Z97" i="14" s="1"/>
  <c r="X97" i="14"/>
  <c r="Z95" i="14" s="1"/>
  <c r="X96" i="14"/>
  <c r="Z94" i="14" s="1"/>
  <c r="X94" i="14"/>
  <c r="Z93" i="14" s="1"/>
  <c r="X93" i="14"/>
  <c r="Z92" i="14" s="1"/>
  <c r="X92" i="14"/>
  <c r="Z91" i="14" s="1"/>
  <c r="X90" i="14"/>
  <c r="Y90" i="14" s="1"/>
  <c r="Y96" i="14"/>
  <c r="Y93" i="14"/>
  <c r="Y91" i="14" l="1"/>
  <c r="Z98" i="14"/>
  <c r="W94" i="14"/>
  <c r="W95" i="14"/>
  <c r="Y94" i="14"/>
  <c r="W90" i="14"/>
  <c r="Z90" i="14"/>
  <c r="W97" i="14"/>
  <c r="Y97" i="14"/>
  <c r="W96" i="14"/>
  <c r="AB99" i="14"/>
  <c r="Y92" i="14"/>
  <c r="W92" i="14"/>
  <c r="W91" i="14"/>
  <c r="C127" i="14"/>
  <c r="AG91" i="14"/>
  <c r="AH91" i="14" s="1"/>
  <c r="AG95" i="14"/>
  <c r="AH95" i="14" s="1"/>
  <c r="AG92" i="14"/>
  <c r="AH92" i="14" s="1"/>
  <c r="AG96" i="14"/>
  <c r="AH96" i="14" s="1"/>
  <c r="AG93" i="14"/>
  <c r="AH93" i="14" s="1"/>
  <c r="AG97" i="14"/>
  <c r="AH97" i="14" s="1"/>
  <c r="AG90" i="14"/>
  <c r="AH90" i="14" s="1"/>
  <c r="AG98" i="14"/>
  <c r="AH98" i="14" s="1"/>
  <c r="AG99" i="14"/>
  <c r="AH99" i="14" s="1"/>
  <c r="AG94" i="14"/>
  <c r="AH94" i="14" s="1"/>
  <c r="AG100" i="14"/>
  <c r="AH100" i="14" s="1"/>
  <c r="C109" i="14"/>
  <c r="C108" i="14"/>
  <c r="C107" i="14"/>
  <c r="C106" i="14"/>
  <c r="C104" i="14"/>
  <c r="AF103" i="14" l="1"/>
  <c r="AL4" i="14" l="1"/>
  <c r="AL3" i="14"/>
  <c r="AL5" i="14" l="1"/>
  <c r="B77" i="14"/>
  <c r="E91" i="14" s="1"/>
  <c r="D77" i="14"/>
  <c r="D60" i="1"/>
  <c r="B60" i="1" l="1"/>
  <c r="E76" i="1" s="1"/>
  <c r="C1" i="1" l="1"/>
  <c r="CT1" i="1"/>
  <c r="D76" i="1"/>
  <c r="G6" i="22"/>
  <c r="F21" i="22"/>
  <c r="M3" i="22" s="1"/>
  <c r="G5" i="22" s="1"/>
  <c r="B6" i="22" s="1"/>
  <c r="J5" i="22" l="1"/>
  <c r="B35" i="21" l="1"/>
  <c r="B9" i="14" l="1"/>
  <c r="O5" i="19" l="1"/>
  <c r="X103" i="14"/>
  <c r="N5" i="19" s="1"/>
  <c r="Y2" i="14"/>
  <c r="X2" i="14"/>
  <c r="Y66" i="14"/>
  <c r="X66" i="14"/>
  <c r="Y46" i="14"/>
  <c r="X46" i="14"/>
  <c r="Y26" i="14"/>
  <c r="X26" i="14"/>
  <c r="Z6" i="14"/>
  <c r="Y6" i="14"/>
  <c r="F5" i="19"/>
  <c r="E5" i="19"/>
  <c r="D5" i="19"/>
  <c r="C5" i="19"/>
  <c r="B5" i="19"/>
  <c r="AC78" i="14"/>
  <c r="AB77" i="14"/>
  <c r="AB78" i="14"/>
  <c r="AB76" i="14"/>
  <c r="X77" i="14"/>
  <c r="X78" i="14"/>
  <c r="X79" i="14"/>
  <c r="X76" i="14"/>
  <c r="W78" i="14"/>
  <c r="W76" i="14"/>
  <c r="AC69" i="14"/>
  <c r="AC70" i="14"/>
  <c r="AB69" i="14"/>
  <c r="AB70" i="14"/>
  <c r="AB68" i="14"/>
  <c r="X69" i="14"/>
  <c r="X70" i="14"/>
  <c r="X68" i="14"/>
  <c r="W69" i="14"/>
  <c r="W70" i="14"/>
  <c r="W68" i="14"/>
  <c r="W66" i="14"/>
  <c r="W46" i="14"/>
  <c r="AC58" i="14"/>
  <c r="AD58" i="14" s="1"/>
  <c r="AB57" i="14"/>
  <c r="AB58" i="14"/>
  <c r="AB56" i="14"/>
  <c r="X57" i="14"/>
  <c r="X58" i="14"/>
  <c r="X59" i="14"/>
  <c r="X56" i="14"/>
  <c r="W56" i="14"/>
  <c r="W58" i="14"/>
  <c r="AC49" i="14"/>
  <c r="AC50" i="14"/>
  <c r="AB49" i="14"/>
  <c r="AB50" i="14"/>
  <c r="AB48" i="14"/>
  <c r="X50" i="14"/>
  <c r="X49" i="14"/>
  <c r="X48" i="14"/>
  <c r="W49" i="14"/>
  <c r="W50" i="14"/>
  <c r="W48" i="14"/>
  <c r="AQ27" i="14" l="1"/>
  <c r="AU12" i="14"/>
  <c r="AQ26" i="14"/>
  <c r="AU11" i="14"/>
  <c r="W93" i="14"/>
  <c r="Z2" i="14"/>
  <c r="W26" i="14"/>
  <c r="X3" i="14" s="1"/>
  <c r="AB37" i="14"/>
  <c r="AB38" i="14"/>
  <c r="AB36" i="14"/>
  <c r="AC38" i="14"/>
  <c r="X37" i="14"/>
  <c r="X38" i="14"/>
  <c r="X39" i="14"/>
  <c r="X36" i="14"/>
  <c r="W38" i="14"/>
  <c r="W36" i="14"/>
  <c r="AC29" i="14"/>
  <c r="AC30" i="14"/>
  <c r="AB29" i="14"/>
  <c r="AB30" i="14"/>
  <c r="AB28" i="14"/>
  <c r="X29" i="14"/>
  <c r="X30" i="14"/>
  <c r="X28" i="14"/>
  <c r="W29" i="14"/>
  <c r="W30" i="14"/>
  <c r="W28" i="14"/>
  <c r="AC17" i="14"/>
  <c r="AB16" i="14"/>
  <c r="AB17" i="14"/>
  <c r="AB15" i="14"/>
  <c r="X16" i="14"/>
  <c r="X17" i="14"/>
  <c r="X18" i="14"/>
  <c r="X15" i="14"/>
  <c r="W17" i="14"/>
  <c r="W15" i="14"/>
  <c r="AC8" i="14"/>
  <c r="AC9" i="14"/>
  <c r="AB8" i="14"/>
  <c r="AB9" i="14"/>
  <c r="AB7" i="14"/>
  <c r="X8" i="14"/>
  <c r="X9" i="14"/>
  <c r="X7" i="14"/>
  <c r="W8" i="14"/>
  <c r="W9" i="14"/>
  <c r="W7" i="14"/>
  <c r="AQ25" i="14" l="1"/>
  <c r="AU10" i="14"/>
  <c r="I5" i="19"/>
  <c r="C129" i="14"/>
  <c r="B119" i="14"/>
  <c r="G5" i="19"/>
  <c r="C110" i="14"/>
  <c r="O5" i="18"/>
  <c r="N5" i="18"/>
  <c r="F5" i="18" l="1"/>
  <c r="E5" i="18"/>
  <c r="D5" i="18"/>
  <c r="C5" i="18"/>
  <c r="B5" i="18"/>
  <c r="F56" i="1"/>
  <c r="D56" i="1"/>
  <c r="F73" i="14"/>
  <c r="D73" i="14"/>
  <c r="N58" i="14"/>
  <c r="N11" i="14"/>
  <c r="I5" i="18" l="1"/>
  <c r="G5" i="18"/>
  <c r="E61" i="14"/>
  <c r="AA78" i="14" s="1"/>
  <c r="E50" i="14"/>
  <c r="AA58" i="14" s="1"/>
  <c r="W62" i="14" s="1"/>
  <c r="B62" i="14"/>
  <c r="B51" i="14"/>
  <c r="B60" i="14"/>
  <c r="B49" i="14"/>
  <c r="W57" i="14" s="1"/>
  <c r="E58" i="14"/>
  <c r="AA70" i="14" s="1"/>
  <c r="W73" i="14" s="1"/>
  <c r="E57" i="14"/>
  <c r="AA69" i="14" s="1"/>
  <c r="W72" i="14" s="1"/>
  <c r="E46" i="14"/>
  <c r="AA49" i="14" s="1"/>
  <c r="D60" i="14"/>
  <c r="Y77" i="14" s="1"/>
  <c r="D61" i="14"/>
  <c r="Y78" i="14" s="1"/>
  <c r="AD78" i="14" s="1"/>
  <c r="D59" i="14"/>
  <c r="Y76" i="14" s="1"/>
  <c r="D57" i="14"/>
  <c r="Y69" i="14" s="1"/>
  <c r="D58" i="14"/>
  <c r="Y70" i="14" s="1"/>
  <c r="D56" i="14"/>
  <c r="Y68" i="14" s="1"/>
  <c r="E39" i="14"/>
  <c r="AA38" i="14" s="1"/>
  <c r="W82" i="14" l="1"/>
  <c r="AD70" i="14"/>
  <c r="C120" i="14" s="1"/>
  <c r="D51" i="14"/>
  <c r="Y59" i="14" s="1"/>
  <c r="W59" i="14"/>
  <c r="D62" i="14"/>
  <c r="Y79" i="14" s="1"/>
  <c r="W79" i="14"/>
  <c r="E60" i="14"/>
  <c r="K60" i="14" s="1"/>
  <c r="L60" i="14" s="1"/>
  <c r="W77" i="14"/>
  <c r="F51" i="14"/>
  <c r="AB59" i="14" s="1"/>
  <c r="E51" i="14"/>
  <c r="E49" i="14"/>
  <c r="AA57" i="14" s="1"/>
  <c r="E62" i="14"/>
  <c r="F62" i="14"/>
  <c r="AB79" i="14" s="1"/>
  <c r="B40" i="14"/>
  <c r="B38" i="14"/>
  <c r="E47" i="14"/>
  <c r="AA50" i="14" s="1"/>
  <c r="E36" i="14"/>
  <c r="AA30" i="14" s="1"/>
  <c r="E35" i="14"/>
  <c r="AA29" i="14" s="1"/>
  <c r="D40" i="14" l="1"/>
  <c r="Y39" i="14" s="1"/>
  <c r="F40" i="14"/>
  <c r="AB39" i="14" s="1"/>
  <c r="W39" i="14"/>
  <c r="G60" i="14"/>
  <c r="AC77" i="14" s="1"/>
  <c r="AA77" i="14"/>
  <c r="G51" i="14"/>
  <c r="AC59" i="14" s="1"/>
  <c r="AA59" i="14"/>
  <c r="E38" i="14"/>
  <c r="AA37" i="14" s="1"/>
  <c r="W37" i="14"/>
  <c r="G62" i="14"/>
  <c r="AC79" i="14" s="1"/>
  <c r="AA79" i="14"/>
  <c r="G49" i="14"/>
  <c r="AC57" i="14" s="1"/>
  <c r="K52" i="14"/>
  <c r="L52" i="14" s="1"/>
  <c r="E40" i="14"/>
  <c r="E43" i="1"/>
  <c r="Z67" i="1" s="1"/>
  <c r="E40" i="1"/>
  <c r="Z40" i="1" s="1"/>
  <c r="E39" i="1"/>
  <c r="Z39" i="1" s="1"/>
  <c r="V63" i="1"/>
  <c r="V66" i="1"/>
  <c r="B24" i="14"/>
  <c r="B26" i="14"/>
  <c r="W18" i="14" s="1"/>
  <c r="K25" i="14"/>
  <c r="L25" i="14" s="1"/>
  <c r="E23" i="14"/>
  <c r="E21" i="14"/>
  <c r="AA8" i="14" s="1"/>
  <c r="E20" i="14"/>
  <c r="G20" i="14" s="1"/>
  <c r="Z12" i="1" l="1"/>
  <c r="K24" i="1"/>
  <c r="K25" i="1"/>
  <c r="E24" i="14"/>
  <c r="G24" i="14" s="1"/>
  <c r="W16" i="14"/>
  <c r="G38" i="14"/>
  <c r="AC37" i="14" s="1"/>
  <c r="AD77" i="14"/>
  <c r="W83" i="14"/>
  <c r="AD79" i="14"/>
  <c r="W63" i="14"/>
  <c r="AD59" i="14"/>
  <c r="W81" i="14"/>
  <c r="K39" i="14"/>
  <c r="L39" i="14" s="1"/>
  <c r="H39" i="14" s="1"/>
  <c r="G40" i="14"/>
  <c r="AC39" i="14" s="1"/>
  <c r="AA39" i="14"/>
  <c r="E44" i="1"/>
  <c r="Z63" i="1" s="1"/>
  <c r="AA15" i="14"/>
  <c r="K22" i="14"/>
  <c r="L22" i="14" s="1"/>
  <c r="AA7" i="14"/>
  <c r="E42" i="1"/>
  <c r="H50" i="14"/>
  <c r="H61" i="14"/>
  <c r="F26" i="14"/>
  <c r="AB18" i="14" s="1"/>
  <c r="D26" i="14"/>
  <c r="Y18" i="14" s="1"/>
  <c r="K21" i="14"/>
  <c r="H25" i="14"/>
  <c r="C2" i="14"/>
  <c r="E25" i="14"/>
  <c r="AA17" i="14" s="1"/>
  <c r="E28" i="1"/>
  <c r="Z23" i="1" s="1"/>
  <c r="Z21" i="1"/>
  <c r="E22" i="14"/>
  <c r="AA9" i="14" s="1"/>
  <c r="E25" i="1"/>
  <c r="Z14" i="1" s="1"/>
  <c r="E24" i="1"/>
  <c r="Z13" i="1" s="1"/>
  <c r="G23" i="1"/>
  <c r="D45" i="14"/>
  <c r="Y48" i="14" s="1"/>
  <c r="D49" i="14"/>
  <c r="Y57" i="14" s="1"/>
  <c r="AD57" i="14" s="1"/>
  <c r="D50" i="14"/>
  <c r="Y58" i="14" s="1"/>
  <c r="D38" i="14"/>
  <c r="Y37" i="14" s="1"/>
  <c r="D39" i="14"/>
  <c r="Y38" i="14" s="1"/>
  <c r="D37" i="14"/>
  <c r="Y36" i="14" s="1"/>
  <c r="D35" i="14"/>
  <c r="Y29" i="14" s="1"/>
  <c r="D36" i="14"/>
  <c r="Y30" i="14" s="1"/>
  <c r="D48" i="14"/>
  <c r="Y56" i="14" s="1"/>
  <c r="D46" i="14"/>
  <c r="Y49" i="14" s="1"/>
  <c r="D47" i="14"/>
  <c r="Y50" i="14" s="1"/>
  <c r="C44" i="14"/>
  <c r="K47" i="14" s="1"/>
  <c r="D34" i="14"/>
  <c r="Y28" i="14" s="1"/>
  <c r="D20" i="14"/>
  <c r="Y7" i="14" s="1"/>
  <c r="D24" i="14"/>
  <c r="Y16" i="14" s="1"/>
  <c r="D25" i="14"/>
  <c r="Y17" i="14" s="1"/>
  <c r="AD21" i="14" s="1"/>
  <c r="D23" i="14"/>
  <c r="Y15" i="14" s="1"/>
  <c r="D21" i="14"/>
  <c r="Y8" i="14" s="1"/>
  <c r="D22" i="14"/>
  <c r="Y9" i="14" s="1"/>
  <c r="D23" i="1"/>
  <c r="X12" i="1" s="1"/>
  <c r="W61" i="14" l="1"/>
  <c r="G44" i="1"/>
  <c r="AB63" i="1" s="1"/>
  <c r="AC63" i="1" s="1"/>
  <c r="N30" i="1"/>
  <c r="W10" i="1"/>
  <c r="AB12" i="1"/>
  <c r="U14" i="1"/>
  <c r="L25" i="1"/>
  <c r="U13" i="1"/>
  <c r="L24" i="1"/>
  <c r="K43" i="1"/>
  <c r="L43" i="1" s="1"/>
  <c r="Z66" i="1"/>
  <c r="G26" i="1"/>
  <c r="V9" i="14"/>
  <c r="AG9" i="14" s="1"/>
  <c r="V8" i="14"/>
  <c r="AG8" i="14" s="1"/>
  <c r="W21" i="14"/>
  <c r="W33" i="14"/>
  <c r="AD30" i="14"/>
  <c r="W32" i="14"/>
  <c r="AD29" i="14"/>
  <c r="AV10" i="14" s="1"/>
  <c r="W52" i="14"/>
  <c r="AD50" i="14"/>
  <c r="W53" i="14"/>
  <c r="H22" i="14"/>
  <c r="AD39" i="14"/>
  <c r="AD38" i="14"/>
  <c r="W42" i="14"/>
  <c r="AD37" i="14"/>
  <c r="W43" i="14"/>
  <c r="W12" i="14"/>
  <c r="AD9" i="14"/>
  <c r="W11" i="14"/>
  <c r="F42" i="14"/>
  <c r="E2" i="19"/>
  <c r="F54" i="14"/>
  <c r="F32" i="14"/>
  <c r="F44" i="14"/>
  <c r="E18" i="14"/>
  <c r="F30" i="14"/>
  <c r="F52" i="14"/>
  <c r="F43" i="14"/>
  <c r="F55" i="14"/>
  <c r="F33" i="14"/>
  <c r="F41" i="14"/>
  <c r="W41" i="14"/>
  <c r="AC16" i="14"/>
  <c r="AA16" i="14"/>
  <c r="X6" i="14"/>
  <c r="AC7" i="14"/>
  <c r="AC15" i="14"/>
  <c r="AD19" i="14" s="1"/>
  <c r="E56" i="14"/>
  <c r="E48" i="14"/>
  <c r="E37" i="14"/>
  <c r="E45" i="14"/>
  <c r="AA48" i="14" s="1"/>
  <c r="E59" i="14"/>
  <c r="E34" i="14"/>
  <c r="AA28" i="14" s="1"/>
  <c r="L21" i="14"/>
  <c r="E26" i="14"/>
  <c r="K28" i="14"/>
  <c r="N27" i="14"/>
  <c r="AH14" i="1" l="1"/>
  <c r="AS14" i="1" s="1"/>
  <c r="AQ14" i="1" s="1"/>
  <c r="AM14" i="1" s="1"/>
  <c r="AN16" i="1" s="1"/>
  <c r="T14" i="1"/>
  <c r="AH13" i="1"/>
  <c r="AI13" i="1" s="1"/>
  <c r="T13" i="1"/>
  <c r="AC12" i="1"/>
  <c r="AD12" i="1" s="1"/>
  <c r="AP20" i="1" s="1"/>
  <c r="AB21" i="1"/>
  <c r="AA36" i="14"/>
  <c r="G37" i="14"/>
  <c r="L35" i="14" s="1"/>
  <c r="AH9" i="14"/>
  <c r="AI12" i="14" s="1"/>
  <c r="AJ15" i="14" s="1"/>
  <c r="AR17" i="14" s="1"/>
  <c r="AO10" i="14"/>
  <c r="AM10" i="14" s="1"/>
  <c r="H24" i="1"/>
  <c r="AH8" i="14"/>
  <c r="AI11" i="14" s="1"/>
  <c r="AJ14" i="14" s="1"/>
  <c r="AO9" i="14"/>
  <c r="AM9" i="14" s="1"/>
  <c r="V29" i="14"/>
  <c r="AG30" i="14" s="1"/>
  <c r="V30" i="14"/>
  <c r="AG31" i="14" s="1"/>
  <c r="V49" i="14"/>
  <c r="AJ48" i="14" s="1"/>
  <c r="AD49" i="14" s="1"/>
  <c r="AV11" i="14" s="1"/>
  <c r="V50" i="14"/>
  <c r="AJ49" i="14" s="1"/>
  <c r="C118" i="14"/>
  <c r="H21" i="14"/>
  <c r="C119" i="14"/>
  <c r="C117" i="14"/>
  <c r="CW82" i="14"/>
  <c r="AD20" i="14"/>
  <c r="W19" i="14"/>
  <c r="W13" i="14"/>
  <c r="AD7" i="14"/>
  <c r="AQ7" i="14" s="1"/>
  <c r="W10" i="14"/>
  <c r="W20" i="14"/>
  <c r="K59" i="14"/>
  <c r="L59" i="14" s="1"/>
  <c r="AA68" i="14"/>
  <c r="G59" i="14"/>
  <c r="AC76" i="14" s="1"/>
  <c r="AA76" i="14"/>
  <c r="G48" i="14"/>
  <c r="X55" i="14" s="1"/>
  <c r="AA56" i="14"/>
  <c r="G26" i="14"/>
  <c r="AA18" i="14"/>
  <c r="G56" i="14"/>
  <c r="K58" i="14"/>
  <c r="L58" i="14" s="1"/>
  <c r="K36" i="14"/>
  <c r="L36" i="14" s="1"/>
  <c r="K37" i="14"/>
  <c r="L37" i="14" s="1"/>
  <c r="G45" i="14"/>
  <c r="K50" i="14"/>
  <c r="L50" i="14" s="1"/>
  <c r="K49" i="14"/>
  <c r="L49" i="14" s="1"/>
  <c r="G34" i="14"/>
  <c r="M33" i="14" s="1"/>
  <c r="AT14" i="1" l="1"/>
  <c r="AI14" i="1"/>
  <c r="V15" i="1"/>
  <c r="X67" i="14"/>
  <c r="M53" i="14"/>
  <c r="X14" i="14"/>
  <c r="AR24" i="14" s="1"/>
  <c r="L18" i="14"/>
  <c r="M46" i="14"/>
  <c r="AS13" i="1"/>
  <c r="AQ13" i="1" s="1"/>
  <c r="AM13" i="1" s="1"/>
  <c r="AN12" i="1" s="1"/>
  <c r="AC28" i="14"/>
  <c r="AD28" i="14" s="1"/>
  <c r="AQ8" i="14" s="1"/>
  <c r="L95" i="14"/>
  <c r="AC21" i="1"/>
  <c r="AI10" i="14"/>
  <c r="AJ10" i="14" s="1"/>
  <c r="AI9" i="14"/>
  <c r="AJ9" i="14" s="1"/>
  <c r="AD8" i="14"/>
  <c r="AV9" i="14" s="1"/>
  <c r="AD76" i="14"/>
  <c r="AK49" i="14"/>
  <c r="AR50" i="14"/>
  <c r="AP50" i="14" s="1"/>
  <c r="AL50" i="14" s="1"/>
  <c r="AM50" i="14" s="1"/>
  <c r="V70" i="14"/>
  <c r="AJ70" i="14" s="1"/>
  <c r="V69" i="14"/>
  <c r="AJ69" i="14" s="1"/>
  <c r="AD69" i="14" s="1"/>
  <c r="AV12" i="14" s="1"/>
  <c r="AK48" i="14"/>
  <c r="AL51" i="14" s="1"/>
  <c r="AR49" i="14"/>
  <c r="AP49" i="14" s="1"/>
  <c r="AL49" i="14" s="1"/>
  <c r="AM49" i="14" s="1"/>
  <c r="AR26" i="14"/>
  <c r="AH31" i="14"/>
  <c r="AI34" i="14" s="1"/>
  <c r="AI36" i="14" s="1"/>
  <c r="AR18" i="14" s="1"/>
  <c r="AO32" i="14"/>
  <c r="AM32" i="14" s="1"/>
  <c r="AI32" i="14" s="1"/>
  <c r="AJ32" i="14" s="1"/>
  <c r="AO31" i="14"/>
  <c r="AM31" i="14" s="1"/>
  <c r="AI31" i="14" s="1"/>
  <c r="AJ31" i="14" s="1"/>
  <c r="AH30" i="14"/>
  <c r="AI33" i="14" s="1"/>
  <c r="AI35" i="14" s="1"/>
  <c r="H35" i="14"/>
  <c r="H57" i="14"/>
  <c r="H58" i="14"/>
  <c r="H46" i="14"/>
  <c r="H47" i="14"/>
  <c r="H36" i="14"/>
  <c r="W80" i="14"/>
  <c r="AD31" i="14"/>
  <c r="E2" i="18"/>
  <c r="F36" i="1"/>
  <c r="E21" i="1"/>
  <c r="AC36" i="14"/>
  <c r="AD36" i="14" s="1"/>
  <c r="L48" i="14"/>
  <c r="AC56" i="14"/>
  <c r="AD56" i="14" s="1"/>
  <c r="AD60" i="14" s="1"/>
  <c r="C123" i="14" s="1"/>
  <c r="X75" i="14"/>
  <c r="L55" i="14"/>
  <c r="N48" i="14"/>
  <c r="AC48" i="14"/>
  <c r="AD48" i="14" s="1"/>
  <c r="AQ9" i="14" s="1"/>
  <c r="X47" i="14"/>
  <c r="N55" i="14"/>
  <c r="AC68" i="14"/>
  <c r="AD68" i="14" s="1"/>
  <c r="AQ10" i="14" s="1"/>
  <c r="AC18" i="14"/>
  <c r="AD22" i="14" s="1"/>
  <c r="AT13" i="1" l="1"/>
  <c r="X27" i="14"/>
  <c r="X106" i="14" s="1"/>
  <c r="W31" i="14"/>
  <c r="B96" i="14"/>
  <c r="B95" i="14"/>
  <c r="K39" i="1"/>
  <c r="K40" i="1"/>
  <c r="Z38" i="1"/>
  <c r="G41" i="1"/>
  <c r="Z65" i="1"/>
  <c r="AL52" i="14"/>
  <c r="AL54" i="14" s="1"/>
  <c r="AR19" i="14" s="1"/>
  <c r="AL53" i="14"/>
  <c r="AD10" i="14"/>
  <c r="C113" i="14" s="1"/>
  <c r="W84" i="14"/>
  <c r="AR27" i="14"/>
  <c r="AD80" i="14"/>
  <c r="C124" i="14" s="1"/>
  <c r="AK70" i="14"/>
  <c r="AR71" i="14"/>
  <c r="AP71" i="14" s="1"/>
  <c r="AL71" i="14" s="1"/>
  <c r="AM71" i="14" s="1"/>
  <c r="AK69" i="14"/>
  <c r="AR70" i="14"/>
  <c r="AP70" i="14" s="1"/>
  <c r="AL70" i="14" s="1"/>
  <c r="AM70" i="14" s="1"/>
  <c r="B115" i="14"/>
  <c r="AD51" i="14"/>
  <c r="W60" i="14"/>
  <c r="W64" i="14" s="1"/>
  <c r="W23" i="14"/>
  <c r="AF21" i="14"/>
  <c r="C121" i="14" s="1"/>
  <c r="AD71" i="14"/>
  <c r="C116" i="14"/>
  <c r="W71" i="14"/>
  <c r="W74" i="14" s="1"/>
  <c r="C114" i="14"/>
  <c r="W22" i="14"/>
  <c r="W51" i="14"/>
  <c r="Z46" i="14"/>
  <c r="L63" i="14"/>
  <c r="Z66" i="14"/>
  <c r="W40" i="14"/>
  <c r="X35" i="14"/>
  <c r="W54" i="14"/>
  <c r="W34" i="14"/>
  <c r="F29" i="1"/>
  <c r="AA32" i="1" s="1"/>
  <c r="G38" i="1"/>
  <c r="L81" i="1" s="1"/>
  <c r="E29" i="1"/>
  <c r="C33" i="14"/>
  <c r="C18" i="14"/>
  <c r="K19" i="14" s="1"/>
  <c r="E16" i="14" s="1"/>
  <c r="K34" i="14" l="1"/>
  <c r="F31" i="14" s="1"/>
  <c r="B79" i="1"/>
  <c r="B78" i="1"/>
  <c r="AB38" i="1"/>
  <c r="B103" i="1" s="1"/>
  <c r="W37" i="1"/>
  <c r="N46" i="1"/>
  <c r="AB65" i="1"/>
  <c r="G29" i="1"/>
  <c r="AB32" i="1" s="1"/>
  <c r="Z32" i="1"/>
  <c r="L40" i="1"/>
  <c r="U40" i="1"/>
  <c r="AG40" i="1" s="1"/>
  <c r="Z22" i="1"/>
  <c r="L39" i="1"/>
  <c r="U39" i="1"/>
  <c r="AG39" i="1" s="1"/>
  <c r="AL73" i="14"/>
  <c r="AL75" i="14" s="1"/>
  <c r="AR20" i="14" s="1"/>
  <c r="AL72" i="14"/>
  <c r="AL74" i="14" s="1"/>
  <c r="AD40" i="14"/>
  <c r="C122" i="14" s="1"/>
  <c r="AR25" i="14"/>
  <c r="W44" i="14"/>
  <c r="X87" i="14" s="1"/>
  <c r="L5" i="19" s="1"/>
  <c r="X107" i="14"/>
  <c r="C115" i="14"/>
  <c r="X86" i="14"/>
  <c r="K5" i="19" s="1"/>
  <c r="Z25" i="14"/>
  <c r="C3" i="14"/>
  <c r="L28" i="14"/>
  <c r="B15" i="14"/>
  <c r="E15" i="14" s="1"/>
  <c r="B17" i="14"/>
  <c r="E14" i="14"/>
  <c r="F29" i="14"/>
  <c r="N35" i="14"/>
  <c r="N63" i="14" s="1"/>
  <c r="C55" i="14"/>
  <c r="K54" i="14" s="1"/>
  <c r="F53" i="14" s="1"/>
  <c r="G67" i="14"/>
  <c r="G68" i="14"/>
  <c r="G69" i="14"/>
  <c r="G70" i="14"/>
  <c r="G71" i="14"/>
  <c r="H74" i="14"/>
  <c r="H75" i="14"/>
  <c r="R94" i="14"/>
  <c r="K22" i="1" l="1"/>
  <c r="C10" i="1" s="1"/>
  <c r="E17" i="14"/>
  <c r="AH39" i="1"/>
  <c r="AS39" i="1"/>
  <c r="AQ39" i="1" s="1"/>
  <c r="AM39" i="1" s="1"/>
  <c r="AN38" i="1" s="1"/>
  <c r="AH40" i="1"/>
  <c r="AS40" i="1"/>
  <c r="AQ40" i="1" s="1"/>
  <c r="AM40" i="1" s="1"/>
  <c r="AN40" i="1" s="1"/>
  <c r="AT40" i="1" s="1"/>
  <c r="W75" i="1"/>
  <c r="X75" i="1" s="1"/>
  <c r="AB22" i="1"/>
  <c r="W19" i="1"/>
  <c r="L30" i="1"/>
  <c r="K32" i="1" s="1"/>
  <c r="AC65" i="1"/>
  <c r="AC38" i="1"/>
  <c r="C72" i="14"/>
  <c r="B94" i="14" s="1"/>
  <c r="X98" i="14"/>
  <c r="AB96" i="14"/>
  <c r="H39" i="1"/>
  <c r="CT43" i="14"/>
  <c r="L27" i="14"/>
  <c r="CQ91" i="14" l="1"/>
  <c r="CW66" i="14"/>
  <c r="CQ92" i="14"/>
  <c r="CR67" i="14"/>
  <c r="C8" i="14"/>
  <c r="D90" i="14"/>
  <c r="C7" i="14" s="1"/>
  <c r="CT41" i="14"/>
  <c r="CR43" i="14"/>
  <c r="CR37" i="14"/>
  <c r="CR41" i="14"/>
  <c r="AC22" i="1"/>
  <c r="AN39" i="1"/>
  <c r="AT39" i="1"/>
  <c r="CT32" i="14"/>
  <c r="CT30" i="14"/>
  <c r="CR32" i="14"/>
  <c r="CR30" i="14"/>
  <c r="CR15" i="14"/>
  <c r="CS17" i="14"/>
  <c r="CR17" i="14"/>
  <c r="CS15" i="14"/>
  <c r="Z96" i="14"/>
  <c r="W98" i="14"/>
  <c r="Y98" i="14"/>
  <c r="CR34" i="14"/>
  <c r="CR45" i="14"/>
  <c r="CR20" i="14"/>
  <c r="CR22" i="14"/>
  <c r="CR35" i="14"/>
  <c r="CR36" i="14"/>
  <c r="CR6" i="14"/>
  <c r="CW9" i="14"/>
  <c r="CT25" i="14"/>
  <c r="CQ67" i="14"/>
  <c r="CR50" i="14"/>
  <c r="CV40" i="14"/>
  <c r="CR47" i="14"/>
  <c r="CV37" i="14"/>
  <c r="CR73" i="14"/>
  <c r="CR57" i="14"/>
  <c r="CU39" i="14"/>
  <c r="CQ56" i="14"/>
  <c r="CW21" i="14"/>
  <c r="CW12" i="14"/>
  <c r="CQ24" i="14"/>
  <c r="CU23" i="14"/>
  <c r="CR72" i="14"/>
  <c r="CR59" i="14"/>
  <c r="CQ48" i="14"/>
  <c r="CV26" i="14"/>
  <c r="CU61" i="14"/>
  <c r="CU50" i="14"/>
  <c r="CS36" i="14"/>
  <c r="CS71" i="14"/>
  <c r="CU54" i="14"/>
  <c r="CQ73" i="14"/>
  <c r="CR58" i="14"/>
  <c r="CQ47" i="14"/>
  <c r="CQ20" i="14"/>
  <c r="CS26" i="14"/>
  <c r="CV23" i="14"/>
  <c r="CV69" i="14"/>
  <c r="CR56" i="14"/>
  <c r="CQ45" i="14"/>
  <c r="CS76" i="14"/>
  <c r="CT58" i="14"/>
  <c r="CT47" i="14"/>
  <c r="CS40" i="14"/>
  <c r="CR71" i="14"/>
  <c r="CV38" i="14"/>
  <c r="CV68" i="14"/>
  <c r="CR62" i="14"/>
  <c r="CQ51" i="14"/>
  <c r="CU30" i="14"/>
  <c r="CR13" i="14"/>
  <c r="CQ12" i="14"/>
  <c r="CQ22" i="14"/>
  <c r="CV56" i="14"/>
  <c r="CV45" i="14"/>
  <c r="CS35" i="14"/>
  <c r="CR70" i="14"/>
  <c r="CR40" i="14"/>
  <c r="CQ74" i="14"/>
  <c r="CS60" i="14"/>
  <c r="CQ46" i="14"/>
  <c r="CU31" i="14"/>
  <c r="CV62" i="14"/>
  <c r="CV51" i="14"/>
  <c r="CU40" i="14"/>
  <c r="CV22" i="14"/>
  <c r="CQ39" i="14"/>
  <c r="CS9" i="14"/>
  <c r="CR21" i="14"/>
  <c r="CR88" i="14"/>
  <c r="CR26" i="14"/>
  <c r="CR18" i="14"/>
  <c r="CQ81" i="14"/>
  <c r="CU60" i="14"/>
  <c r="CU49" i="14"/>
  <c r="CS39" i="14"/>
  <c r="CU57" i="14"/>
  <c r="CU46" i="14"/>
  <c r="CT39" i="14"/>
  <c r="CT71" i="14"/>
  <c r="CQ55" i="14"/>
  <c r="CR81" i="14"/>
  <c r="CU48" i="14"/>
  <c r="CS24" i="14"/>
  <c r="CU21" i="14"/>
  <c r="CR23" i="14"/>
  <c r="CQ13" i="14"/>
  <c r="CS69" i="14"/>
  <c r="CQ41" i="14"/>
  <c r="CS73" i="14"/>
  <c r="CS56" i="14"/>
  <c r="CS45" i="14"/>
  <c r="CU32" i="14"/>
  <c r="CV57" i="14"/>
  <c r="CV50" i="14"/>
  <c r="CT36" i="14"/>
  <c r="CT68" i="14"/>
  <c r="CQ54" i="14"/>
  <c r="CQ9" i="14"/>
  <c r="CQ7" i="14"/>
  <c r="CQ15" i="14"/>
  <c r="CR69" i="14"/>
  <c r="CU52" i="14"/>
  <c r="CR39" i="14"/>
  <c r="CW69" i="14"/>
  <c r="CR60" i="14"/>
  <c r="CQ49" i="14"/>
  <c r="CV61" i="14"/>
  <c r="CU47" i="14"/>
  <c r="CT40" i="14"/>
  <c r="CS68" i="14"/>
  <c r="CU53" i="14"/>
  <c r="CW35" i="14"/>
  <c r="CW83" i="14"/>
  <c r="CV20" i="14"/>
  <c r="CT16" i="14"/>
  <c r="CU75" i="14"/>
  <c r="CS58" i="14"/>
  <c r="CS47" i="14"/>
  <c r="CV60" i="14"/>
  <c r="CV49" i="14"/>
  <c r="CT35" i="14"/>
  <c r="CU71" i="14"/>
  <c r="CQ62" i="14"/>
  <c r="CV74" i="14"/>
  <c r="CS57" i="14"/>
  <c r="CS46" i="14"/>
  <c r="CQ35" i="14"/>
  <c r="CQ18" i="14"/>
  <c r="CU25" i="14"/>
  <c r="CS34" i="14"/>
  <c r="CR49" i="14"/>
  <c r="CU22" i="14"/>
  <c r="CQ14" i="14"/>
  <c r="CT23" i="14"/>
  <c r="CT15" i="14"/>
  <c r="CQ40" i="14"/>
  <c r="CV21" i="14"/>
  <c r="CQ26" i="14"/>
  <c r="CT20" i="14"/>
  <c r="CS61" i="14"/>
  <c r="CR33" i="14"/>
  <c r="CV39" i="14"/>
  <c r="CU10" i="14"/>
  <c r="CT21" i="14"/>
  <c r="CT73" i="14"/>
  <c r="CS62" i="14"/>
  <c r="CS51" i="14"/>
  <c r="CU74" i="14"/>
  <c r="CS59" i="14"/>
  <c r="CS48" i="14"/>
  <c r="CQ34" i="14"/>
  <c r="CQ66" i="14"/>
  <c r="CT48" i="14"/>
  <c r="CU68" i="14"/>
  <c r="CS91" i="14"/>
  <c r="CS20" i="14"/>
  <c r="CV12" i="14"/>
  <c r="CV10" i="14"/>
  <c r="CW58" i="14"/>
  <c r="CW47" i="14"/>
  <c r="CU37" i="14"/>
  <c r="CT70" i="14"/>
  <c r="CR55" i="14"/>
  <c r="CQ43" i="14"/>
  <c r="CQ76" i="14"/>
  <c r="CT59" i="14"/>
  <c r="CT45" i="14"/>
  <c r="CQ38" i="14"/>
  <c r="CW61" i="14"/>
  <c r="CW50" i="14"/>
  <c r="CT92" i="14"/>
  <c r="CT24" i="14"/>
  <c r="CU13" i="14"/>
  <c r="CS22" i="14"/>
  <c r="CV59" i="14"/>
  <c r="CV48" i="14"/>
  <c r="CU34" i="14"/>
  <c r="CS70" i="14"/>
  <c r="CW39" i="14"/>
  <c r="CV75" i="14"/>
  <c r="CT56" i="14"/>
  <c r="CS49" i="14"/>
  <c r="CS33" i="14"/>
  <c r="CV58" i="14"/>
  <c r="CV47" i="14"/>
  <c r="CU36" i="14"/>
  <c r="CQ8" i="14"/>
  <c r="CT13" i="14"/>
  <c r="CT26" i="14"/>
  <c r="CU69" i="14"/>
  <c r="CQ60" i="14"/>
  <c r="CU43" i="14"/>
  <c r="CW74" i="14"/>
  <c r="CT62" i="14"/>
  <c r="CT51" i="14"/>
  <c r="CQ37" i="14"/>
  <c r="CV66" i="14"/>
  <c r="CR48" i="14"/>
  <c r="CU35" i="14"/>
  <c r="CV67" i="14"/>
  <c r="CQ59" i="14"/>
  <c r="CQ44" i="14"/>
  <c r="CQ32" i="14"/>
  <c r="CR12" i="14"/>
  <c r="CV24" i="14"/>
  <c r="CU73" i="14"/>
  <c r="CS50" i="14"/>
  <c r="CT34" i="14"/>
  <c r="CR25" i="14"/>
  <c r="CR24" i="14"/>
  <c r="CQ25" i="14"/>
  <c r="CQ29" i="14"/>
  <c r="CU20" i="14"/>
  <c r="CU24" i="14"/>
  <c r="CW22" i="14"/>
  <c r="CT69" i="14"/>
  <c r="CS55" i="14"/>
  <c r="CU70" i="14"/>
  <c r="CQ61" i="14"/>
  <c r="CU42" i="14"/>
  <c r="CW25" i="14"/>
  <c r="CU62" i="14"/>
  <c r="CQ50" i="14"/>
  <c r="CU59" i="14"/>
  <c r="CT37" i="14"/>
  <c r="CS88" i="14"/>
  <c r="CQ11" i="14"/>
  <c r="CQ23" i="14"/>
  <c r="CS77" i="14"/>
  <c r="CT57" i="14"/>
  <c r="CT46" i="14"/>
  <c r="CQ36" i="14"/>
  <c r="CR65" i="14"/>
  <c r="CR51" i="14"/>
  <c r="CV34" i="14"/>
  <c r="CQ69" i="14"/>
  <c r="CR61" i="14"/>
  <c r="CR44" i="14"/>
  <c r="CV77" i="14"/>
  <c r="CU56" i="14"/>
  <c r="CU45" i="14"/>
  <c r="CU88" i="14"/>
  <c r="CR11" i="14"/>
  <c r="CS25" i="14"/>
  <c r="CW75" i="14"/>
  <c r="CT61" i="14"/>
  <c r="CT50" i="14"/>
  <c r="CQ33" i="14"/>
  <c r="CW57" i="14"/>
  <c r="CW46" i="14"/>
  <c r="CU38" i="14"/>
  <c r="CV71" i="14"/>
  <c r="CQ58" i="14"/>
  <c r="CU41" i="14"/>
  <c r="CQ75" i="14"/>
  <c r="CT60" i="14"/>
  <c r="CT49" i="14"/>
  <c r="CS38" i="14"/>
  <c r="CS23" i="14"/>
  <c r="CT22" i="14"/>
  <c r="CQ17" i="14"/>
  <c r="CS67" i="14"/>
  <c r="CR46" i="14"/>
  <c r="CV36" i="14"/>
  <c r="CV70" i="14"/>
  <c r="CQ57" i="14"/>
  <c r="CS44" i="14"/>
  <c r="CQ30" i="14"/>
  <c r="CU58" i="14"/>
  <c r="CU51" i="14"/>
  <c r="CS37" i="14"/>
  <c r="CR68" i="14"/>
  <c r="CQ52" i="14"/>
  <c r="CR38" i="14"/>
  <c r="CV25" i="14"/>
  <c r="CT38" i="14"/>
  <c r="CV46" i="14"/>
  <c r="CV35" i="14"/>
  <c r="CU26" i="14"/>
  <c r="CR2" i="14"/>
  <c r="CQ10" i="14"/>
  <c r="CQ21" i="14"/>
  <c r="CS21" i="14"/>
  <c r="CR10" i="14"/>
  <c r="CT91" i="14"/>
  <c r="CW36" i="14"/>
  <c r="CT17" i="14"/>
  <c r="CS13" i="14"/>
  <c r="X99" i="14"/>
  <c r="W100" i="14"/>
  <c r="H5" i="19" s="1"/>
  <c r="P63" i="14"/>
  <c r="P27" i="14"/>
  <c r="CQ117" i="14" l="1"/>
  <c r="CR120" i="14"/>
  <c r="CQ147" i="14"/>
  <c r="CR114" i="14"/>
  <c r="CS130" i="14"/>
  <c r="CQ131" i="14"/>
  <c r="CR108" i="14"/>
  <c r="CQ108" i="14"/>
  <c r="CQ137" i="14"/>
  <c r="CQ129" i="14"/>
  <c r="CR121" i="14"/>
  <c r="CR122" i="14"/>
  <c r="CW102" i="14"/>
  <c r="CQ143" i="14"/>
  <c r="CQ125" i="14"/>
  <c r="CR125" i="14"/>
  <c r="CQ152" i="14" s="1"/>
  <c r="CR127" i="14"/>
  <c r="CQ104" i="14"/>
  <c r="CQ135" i="14"/>
  <c r="CR115" i="14"/>
  <c r="CR124" i="14"/>
  <c r="CS138" i="14"/>
  <c r="CQ107" i="14"/>
  <c r="CR106" i="14"/>
  <c r="CX113" i="14"/>
  <c r="CQ144" i="14"/>
  <c r="CX118" i="14"/>
  <c r="CR128" i="14"/>
  <c r="CQ146" i="14"/>
  <c r="CX116" i="14"/>
  <c r="CS136" i="14"/>
  <c r="CS128" i="14"/>
  <c r="CQ109" i="14"/>
  <c r="CQ113" i="14"/>
  <c r="CR117" i="14"/>
  <c r="CX117" i="14"/>
  <c r="CQ148" i="14"/>
  <c r="CW130" i="14"/>
  <c r="CU108" i="14"/>
  <c r="CR104" i="14"/>
  <c r="CX120" i="14"/>
  <c r="CS139" i="14"/>
  <c r="CW128" i="14"/>
  <c r="CQ128" i="14"/>
  <c r="CR107" i="14"/>
  <c r="CR131" i="14"/>
  <c r="CQ121" i="14"/>
  <c r="CR119" i="14"/>
  <c r="CX115" i="14"/>
  <c r="CQ110" i="14"/>
  <c r="CR109" i="14"/>
  <c r="CR129" i="14"/>
  <c r="CQ133" i="14"/>
  <c r="CQ150" i="14" s="1"/>
  <c r="CS135" i="14"/>
  <c r="CS137" i="14"/>
  <c r="CW101" i="14"/>
  <c r="C6" i="14"/>
  <c r="CR113" i="14"/>
  <c r="CQ106" i="14"/>
  <c r="CQ127" i="14"/>
  <c r="CR110" i="14"/>
  <c r="CR130" i="14"/>
  <c r="CR133" i="14"/>
  <c r="CQ149" i="14" s="1"/>
  <c r="CQ134" i="14"/>
  <c r="CR118" i="14"/>
  <c r="CX114" i="14"/>
  <c r="CQ145" i="14"/>
  <c r="CR123" i="14"/>
  <c r="CX119" i="14"/>
  <c r="CQ130" i="14"/>
  <c r="CR116" i="14"/>
  <c r="CX112" i="14"/>
  <c r="CQ136" i="14"/>
  <c r="CQ138" i="14"/>
  <c r="CQ139" i="14"/>
  <c r="CQ98" i="14"/>
  <c r="AE90" i="14"/>
  <c r="AF90" i="14" s="1"/>
  <c r="AC90" i="14"/>
  <c r="AE101" i="14"/>
  <c r="AC92" i="14"/>
  <c r="AC95" i="14"/>
  <c r="AC91" i="14"/>
  <c r="AE92" i="14"/>
  <c r="AF92" i="14" s="1"/>
  <c r="AE98" i="14"/>
  <c r="AF98" i="14" s="1"/>
  <c r="AE100" i="14"/>
  <c r="AF100" i="14" s="1"/>
  <c r="AE95" i="14"/>
  <c r="AF95" i="14" s="1"/>
  <c r="AE94" i="14"/>
  <c r="AF94" i="14" s="1"/>
  <c r="AE93" i="14"/>
  <c r="AF93" i="14" s="1"/>
  <c r="AE96" i="14"/>
  <c r="AF96" i="14" s="1"/>
  <c r="AE99" i="14"/>
  <c r="AF99" i="14" s="1"/>
  <c r="AC94" i="14"/>
  <c r="AC93" i="14"/>
  <c r="AC96" i="14"/>
  <c r="AE91" i="14"/>
  <c r="AF91" i="14" s="1"/>
  <c r="AE97" i="14"/>
  <c r="AF97" i="14" s="1"/>
  <c r="W101" i="14"/>
  <c r="J5" i="19" s="1"/>
  <c r="Y99" i="14"/>
  <c r="D1" i="14"/>
  <c r="B79" i="14"/>
  <c r="CQ79" i="14" s="1"/>
  <c r="B84" i="14"/>
  <c r="CQ84" i="14" s="1"/>
  <c r="B83" i="14"/>
  <c r="CQ83" i="14" s="1"/>
  <c r="C4" i="14"/>
  <c r="CR4" i="14" s="1"/>
  <c r="C1" i="14"/>
  <c r="B27" i="14"/>
  <c r="CQ27" i="14" s="1"/>
  <c r="B63" i="14"/>
  <c r="CQ63" i="14" s="1"/>
  <c r="D78" i="14"/>
  <c r="CS78" i="14" s="1"/>
  <c r="G27" i="14"/>
  <c r="CV27" i="14" s="1"/>
  <c r="G63" i="14"/>
  <c r="CV63" i="14" s="1"/>
  <c r="B64" i="14"/>
  <c r="CQ64" i="14" s="1"/>
  <c r="H72" i="14"/>
  <c r="CW72" i="14" s="1"/>
  <c r="B85" i="14"/>
  <c r="CQ85" i="14" s="1"/>
  <c r="A91" i="14"/>
  <c r="B86" i="14"/>
  <c r="CQ86" i="14" s="1"/>
  <c r="H80" i="14"/>
  <c r="X105" i="14"/>
  <c r="X108" i="14" s="1"/>
  <c r="W110" i="14" s="1"/>
  <c r="M5" i="19" s="1"/>
  <c r="AF101" i="14" l="1"/>
  <c r="AD89" i="14"/>
  <c r="AC99" i="14"/>
  <c r="AF102" i="14" s="1"/>
  <c r="C125" i="14" s="1"/>
  <c r="L65" i="14"/>
  <c r="CW80" i="14"/>
  <c r="G64" i="14"/>
  <c r="B80" i="14"/>
  <c r="CQ80" i="14" s="1"/>
  <c r="G42" i="1"/>
  <c r="AB66" i="1" l="1"/>
  <c r="K45" i="1"/>
  <c r="L46" i="1"/>
  <c r="K48" i="1" s="1"/>
  <c r="W64" i="1"/>
  <c r="H78" i="14"/>
  <c r="H79" i="14" s="1"/>
  <c r="CW79" i="14" s="1"/>
  <c r="CV64" i="14"/>
  <c r="H43" i="1"/>
  <c r="K50" i="1" l="1"/>
  <c r="W69" i="1"/>
  <c r="W74" i="1"/>
  <c r="AC66" i="1"/>
  <c r="A92" i="14"/>
  <c r="CW78" i="14"/>
  <c r="B82" i="14"/>
  <c r="CQ82" i="14" s="1"/>
  <c r="E81" i="14"/>
  <c r="CT81" i="14" s="1"/>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X74" i="1" l="1"/>
  <c r="CR8" i="14"/>
  <c r="H25" i="1" l="1"/>
  <c r="F32" i="1"/>
  <c r="D42" i="1"/>
  <c r="X66" i="1" s="1"/>
  <c r="D41" i="1"/>
  <c r="X65" i="1" s="1"/>
  <c r="D40" i="1"/>
  <c r="X40" i="1" s="1"/>
  <c r="D39" i="1"/>
  <c r="X39" i="1" s="1"/>
  <c r="D38" i="1"/>
  <c r="X38" i="1" s="1"/>
  <c r="D43" i="1"/>
  <c r="X67" i="1" s="1"/>
  <c r="G30" i="1" l="1"/>
  <c r="V72" i="1"/>
  <c r="AD72" i="1"/>
  <c r="AD39" i="1"/>
  <c r="V42" i="1"/>
  <c r="AI39" i="1"/>
  <c r="AP23" i="1" s="1"/>
  <c r="V71" i="1"/>
  <c r="AD71" i="1"/>
  <c r="V70" i="1"/>
  <c r="AD70" i="1"/>
  <c r="V41" i="1"/>
  <c r="V44" i="1" s="1"/>
  <c r="AD38" i="1"/>
  <c r="F44" i="1"/>
  <c r="AA63" i="1" s="1"/>
  <c r="D44" i="1"/>
  <c r="X63" i="1" s="1"/>
  <c r="D27" i="1"/>
  <c r="X22" i="1" s="1"/>
  <c r="D28" i="1"/>
  <c r="X23" i="1" s="1"/>
  <c r="D26" i="1"/>
  <c r="X21" i="1" s="1"/>
  <c r="D24" i="1"/>
  <c r="X13" i="1" s="1"/>
  <c r="AN13" i="1" s="1"/>
  <c r="D25" i="1"/>
  <c r="X14" i="1" s="1"/>
  <c r="C3" i="1"/>
  <c r="AD23" i="1" l="1"/>
  <c r="V26" i="1"/>
  <c r="AD14" i="1"/>
  <c r="AC16" i="1" s="1"/>
  <c r="C104" i="1" s="1"/>
  <c r="V17" i="1"/>
  <c r="AM15" i="1"/>
  <c r="AM27" i="1" s="1"/>
  <c r="AJ14" i="1"/>
  <c r="AD13" i="1"/>
  <c r="AC15" i="1" s="1"/>
  <c r="V16" i="1"/>
  <c r="V11" i="1" s="1"/>
  <c r="AJ13" i="1"/>
  <c r="AP21" i="1" s="1"/>
  <c r="AD69" i="1"/>
  <c r="AD73" i="1" s="1"/>
  <c r="V73" i="1"/>
  <c r="V68" i="1" s="1"/>
  <c r="V24" i="1"/>
  <c r="AD21" i="1"/>
  <c r="AP24" i="1"/>
  <c r="AP22" i="1"/>
  <c r="AD41" i="1"/>
  <c r="AD22" i="1"/>
  <c r="V25" i="1"/>
  <c r="D29" i="1"/>
  <c r="X32" i="1" s="1"/>
  <c r="B19" i="1"/>
  <c r="AD24" i="1" l="1"/>
  <c r="AD25" i="1" s="1"/>
  <c r="V33" i="1"/>
  <c r="V20" i="1" s="1"/>
  <c r="C102" i="1"/>
  <c r="K5" i="18"/>
  <c r="H40" i="1"/>
  <c r="G46" i="1" l="1"/>
  <c r="L5" i="18" l="1"/>
  <c r="G53" i="1"/>
  <c r="G52" i="1"/>
  <c r="G51" i="1"/>
  <c r="H58" i="1" l="1"/>
  <c r="H57" i="1" l="1"/>
  <c r="G54" i="1" l="1"/>
  <c r="C21" i="1" l="1"/>
  <c r="C36" i="1"/>
  <c r="G50" i="1"/>
  <c r="W58" i="1" s="1"/>
  <c r="K34" i="1" l="1"/>
  <c r="F34" i="1" s="1"/>
  <c r="V58" i="1"/>
  <c r="W59" i="1"/>
  <c r="X58" i="1"/>
  <c r="K19" i="1"/>
  <c r="E19" i="1" s="1"/>
  <c r="D55" i="1"/>
  <c r="D75" i="1" l="1"/>
  <c r="B83" i="1"/>
  <c r="X59" i="1"/>
  <c r="V61" i="1"/>
  <c r="W76" i="1"/>
  <c r="V60" i="1"/>
  <c r="W61" i="1"/>
  <c r="AB59" i="1"/>
  <c r="AD59" i="1" s="1"/>
  <c r="AB48" i="1"/>
  <c r="AD48" i="1" s="1"/>
  <c r="AD47" i="1" s="1"/>
  <c r="AB52" i="1"/>
  <c r="AD52" i="1" s="1"/>
  <c r="AB49" i="1"/>
  <c r="AD49" i="1" s="1"/>
  <c r="AB50" i="1"/>
  <c r="AD50" i="1" s="1"/>
  <c r="AB53" i="1"/>
  <c r="AD53" i="1" s="1"/>
  <c r="AB51" i="1"/>
  <c r="AD51" i="1" s="1"/>
  <c r="AB54" i="1"/>
  <c r="AD54" i="1" s="1"/>
  <c r="AB55" i="1"/>
  <c r="AD55" i="1" s="1"/>
  <c r="AB57" i="1"/>
  <c r="AD57" i="1" s="1"/>
  <c r="AB58" i="1"/>
  <c r="AD58" i="1" s="1"/>
  <c r="AB56" i="1"/>
  <c r="AD56" i="1" s="1"/>
  <c r="H5" i="18"/>
  <c r="C8" i="1" l="1"/>
  <c r="CR77" i="1"/>
  <c r="CX25" i="1"/>
  <c r="CX53" i="1"/>
  <c r="CX41" i="1"/>
  <c r="CX26" i="1"/>
  <c r="D1" i="1"/>
  <c r="CT16" i="1"/>
  <c r="B76" i="1"/>
  <c r="CR76" i="1" s="1"/>
  <c r="J110" i="1"/>
  <c r="CW49" i="1"/>
  <c r="C7" i="1"/>
  <c r="CS50" i="1"/>
  <c r="CX52" i="1"/>
  <c r="CX40" i="1"/>
  <c r="AC60" i="1"/>
  <c r="X76" i="1"/>
  <c r="W77" i="1"/>
  <c r="J5" i="18"/>
  <c r="X77" i="1" l="1"/>
  <c r="V78" i="1" s="1"/>
  <c r="M5" i="18" s="1"/>
  <c r="G47" i="1"/>
  <c r="CU33" i="1" l="1"/>
  <c r="CU35" i="1"/>
  <c r="CS33" i="1"/>
  <c r="CS35" i="1"/>
  <c r="CW46" i="1"/>
  <c r="CS20" i="1"/>
  <c r="CT20" i="1"/>
  <c r="CS18" i="1"/>
  <c r="CT18" i="1"/>
  <c r="CS36" i="1"/>
  <c r="CS21" i="1"/>
  <c r="CY121" i="1"/>
  <c r="CR87" i="1"/>
  <c r="CY118" i="1"/>
  <c r="CY117" i="1"/>
  <c r="CR127" i="1"/>
  <c r="CS119" i="1" s="1"/>
  <c r="CR129" i="1"/>
  <c r="CR128" i="1"/>
  <c r="CS120" i="1" s="1"/>
  <c r="CY120" i="1"/>
  <c r="CR116" i="1"/>
  <c r="CR124" i="1"/>
  <c r="CY115" i="1"/>
  <c r="CX66" i="1"/>
  <c r="CT126" i="1"/>
  <c r="CS118" i="1" s="1"/>
  <c r="CT124" i="1"/>
  <c r="CR126" i="1"/>
  <c r="CS117" i="1" s="1"/>
  <c r="CR125" i="1"/>
  <c r="CS116" i="1" s="1"/>
  <c r="CR141" i="1"/>
  <c r="CT127" i="1"/>
  <c r="CS121" i="1" s="1"/>
  <c r="CX92" i="1"/>
  <c r="CX91" i="1"/>
  <c r="H112" i="1"/>
  <c r="CX112" i="1" s="1"/>
  <c r="H110" i="1"/>
  <c r="CX110" i="1" s="1"/>
  <c r="C113" i="1"/>
  <c r="CS113" i="1" s="1"/>
  <c r="C98" i="1"/>
  <c r="CS98" i="1" s="1"/>
  <c r="B106" i="1"/>
  <c r="CR106" i="1" s="1"/>
  <c r="C101" i="1"/>
  <c r="CR137" i="1" s="1"/>
  <c r="B101" i="1"/>
  <c r="CR101" i="1" s="1"/>
  <c r="C96" i="1"/>
  <c r="CS96" i="1" s="1"/>
  <c r="B96" i="1"/>
  <c r="CR96" i="1" s="1"/>
  <c r="B123" i="1"/>
  <c r="CR12" i="1"/>
  <c r="C111" i="1"/>
  <c r="CS111" i="1" s="1"/>
  <c r="B110" i="1"/>
  <c r="CR110" i="1" s="1"/>
  <c r="C110" i="1"/>
  <c r="CS110" i="1" s="1"/>
  <c r="C99" i="1"/>
  <c r="CS99" i="1" s="1"/>
  <c r="C95" i="1"/>
  <c r="CS95" i="1" s="1"/>
  <c r="B113" i="1"/>
  <c r="CR113" i="1" s="1"/>
  <c r="B108" i="1"/>
  <c r="CR108" i="1" s="1"/>
  <c r="B99" i="1"/>
  <c r="CR99" i="1" s="1"/>
  <c r="B95" i="1"/>
  <c r="CR95" i="1" s="1"/>
  <c r="D112" i="1"/>
  <c r="CT112" i="1" s="1"/>
  <c r="C106" i="1"/>
  <c r="CR140" i="1" s="1"/>
  <c r="C93" i="1"/>
  <c r="B112" i="1"/>
  <c r="CR112" i="1" s="1"/>
  <c r="B98" i="1"/>
  <c r="CR98" i="1" s="1"/>
  <c r="B93" i="1"/>
  <c r="CR93" i="1" s="1"/>
  <c r="D110" i="1"/>
  <c r="CT110" i="1" s="1"/>
  <c r="C112" i="1"/>
  <c r="CS112" i="1" s="1"/>
  <c r="C97" i="1"/>
  <c r="CS97" i="1" s="1"/>
  <c r="B111" i="1"/>
  <c r="CR111" i="1" s="1"/>
  <c r="B97" i="1"/>
  <c r="CR97" i="1" s="1"/>
  <c r="C100" i="1"/>
  <c r="CR142" i="1" s="1"/>
  <c r="B100" i="1"/>
  <c r="CR100" i="1" s="1"/>
  <c r="CW60" i="1"/>
  <c r="CS7" i="1"/>
  <c r="CT12" i="1"/>
  <c r="CS65" i="1"/>
  <c r="CV52" i="1"/>
  <c r="CT52" i="1"/>
  <c r="CT38" i="1"/>
  <c r="CV53" i="1"/>
  <c r="CV54" i="1"/>
  <c r="CV51" i="1"/>
  <c r="CT51" i="1"/>
  <c r="CW51" i="1"/>
  <c r="CU51" i="1"/>
  <c r="CS51" i="1"/>
  <c r="CW52" i="1"/>
  <c r="CU52" i="1"/>
  <c r="CS52" i="1"/>
  <c r="CT53" i="1"/>
  <c r="CW53" i="1"/>
  <c r="CU53" i="1"/>
  <c r="CS53" i="1"/>
  <c r="CT54" i="1"/>
  <c r="CW54" i="1"/>
  <c r="CU54" i="1"/>
  <c r="CS54" i="1"/>
  <c r="CU76" i="1"/>
  <c r="CR59" i="1"/>
  <c r="CX58" i="1"/>
  <c r="CR58" i="1"/>
  <c r="CU56" i="1"/>
  <c r="CS56" i="1"/>
  <c r="CW58" i="1"/>
  <c r="CR57" i="1"/>
  <c r="CT76" i="1"/>
  <c r="CT60" i="1"/>
  <c r="CX57" i="1"/>
  <c r="CT73" i="1"/>
  <c r="CR65" i="1"/>
  <c r="CT59" i="1"/>
  <c r="CV58" i="1"/>
  <c r="CW57" i="1"/>
  <c r="CR56" i="1"/>
  <c r="CS73" i="1"/>
  <c r="CV57" i="1"/>
  <c r="CV56" i="1"/>
  <c r="CT55" i="1"/>
  <c r="CT56" i="1"/>
  <c r="CW50" i="1"/>
  <c r="CR50" i="1"/>
  <c r="CR49" i="1"/>
  <c r="CX39" i="1"/>
  <c r="CV39" i="1"/>
  <c r="CU40" i="1"/>
  <c r="CT44" i="1"/>
  <c r="CR42" i="1"/>
  <c r="CU50" i="1"/>
  <c r="CW39" i="1"/>
  <c r="CW43" i="1"/>
  <c r="CV40" i="1"/>
  <c r="CV44" i="1"/>
  <c r="CU41" i="1"/>
  <c r="CU38" i="1"/>
  <c r="CT41" i="1"/>
  <c r="CS42" i="1"/>
  <c r="CR43" i="1"/>
  <c r="CR35" i="1"/>
  <c r="CT50" i="1"/>
  <c r="CU49" i="1"/>
  <c r="CX43" i="1"/>
  <c r="CW40" i="1"/>
  <c r="CW44" i="1"/>
  <c r="CV41" i="1"/>
  <c r="CV38" i="1"/>
  <c r="CU42" i="1"/>
  <c r="CT37" i="1"/>
  <c r="CT42" i="1"/>
  <c r="CS39" i="1"/>
  <c r="CS43" i="1"/>
  <c r="CR40" i="1"/>
  <c r="CR44" i="1"/>
  <c r="CR33" i="1"/>
  <c r="CR52" i="1"/>
  <c r="CS48" i="1"/>
  <c r="CW41" i="1"/>
  <c r="CW38" i="1"/>
  <c r="CV42" i="1"/>
  <c r="CU39" i="1"/>
  <c r="CU43" i="1"/>
  <c r="CT39" i="1"/>
  <c r="CT43" i="1"/>
  <c r="CS40" i="1"/>
  <c r="CS44" i="1"/>
  <c r="CR41" i="1"/>
  <c r="CR38" i="1"/>
  <c r="CW42" i="1"/>
  <c r="CV43" i="1"/>
  <c r="CU44" i="1"/>
  <c r="CT40" i="1"/>
  <c r="CS41" i="1"/>
  <c r="CS38" i="1"/>
  <c r="CR36" i="1"/>
  <c r="CR39" i="1"/>
  <c r="CW26" i="1"/>
  <c r="CW23" i="1"/>
  <c r="CV27" i="1"/>
  <c r="CU28" i="1"/>
  <c r="CT25" i="1"/>
  <c r="CS23" i="1"/>
  <c r="CW12" i="1"/>
  <c r="CR14" i="1"/>
  <c r="CS27" i="1"/>
  <c r="CX13" i="1"/>
  <c r="CR20" i="1"/>
  <c r="CS10" i="1"/>
  <c r="CW13" i="1"/>
  <c r="CR29" i="1"/>
  <c r="CS13" i="1"/>
  <c r="CX24" i="1"/>
  <c r="CW27" i="1"/>
  <c r="CV24" i="1"/>
  <c r="CV28" i="1"/>
  <c r="CU25" i="1"/>
  <c r="CU29" i="1"/>
  <c r="CT23" i="1"/>
  <c r="CV16" i="1"/>
  <c r="CR24" i="1"/>
  <c r="CR10" i="1"/>
  <c r="CR18" i="1"/>
  <c r="CR7" i="1"/>
  <c r="CW30" i="1"/>
  <c r="CW24" i="1"/>
  <c r="CW28" i="1"/>
  <c r="CV25" i="1"/>
  <c r="CV29" i="1"/>
  <c r="CU26" i="1"/>
  <c r="CU23" i="1"/>
  <c r="CT27" i="1"/>
  <c r="CS24" i="1"/>
  <c r="CS28" i="1"/>
  <c r="CU16" i="1"/>
  <c r="CS16" i="1"/>
  <c r="CR25" i="1"/>
  <c r="CR16" i="1"/>
  <c r="CX28" i="1"/>
  <c r="CW25" i="1"/>
  <c r="CW29" i="1"/>
  <c r="CV26" i="1"/>
  <c r="CV23" i="1"/>
  <c r="CU27" i="1"/>
  <c r="CT24" i="1"/>
  <c r="CT28" i="1"/>
  <c r="CS25" i="1"/>
  <c r="CS29" i="1"/>
  <c r="CU19" i="1"/>
  <c r="CS15" i="1"/>
  <c r="CX12" i="1"/>
  <c r="CR26" i="1"/>
  <c r="CR23" i="1"/>
  <c r="CR13" i="1"/>
  <c r="CU24" i="1"/>
  <c r="CT29" i="1"/>
  <c r="CS26" i="1"/>
  <c r="CU20" i="1"/>
  <c r="CX15" i="1"/>
  <c r="CS14" i="1"/>
  <c r="CR27" i="1"/>
  <c r="CR21" i="1"/>
  <c r="CR11" i="1"/>
  <c r="CS2" i="1"/>
  <c r="CT26" i="1"/>
  <c r="CU18" i="1"/>
  <c r="CW15" i="1"/>
  <c r="CR28" i="1"/>
  <c r="CR15" i="1"/>
  <c r="CV35" i="1"/>
  <c r="CV33" i="1"/>
  <c r="CV34" i="1"/>
  <c r="H55" i="1"/>
  <c r="CX55" i="1" s="1"/>
  <c r="CR32" i="1"/>
  <c r="C4" i="1"/>
  <c r="CS4" i="1" s="1"/>
  <c r="CW47" i="1"/>
  <c r="B47" i="1"/>
  <c r="CR47" i="1" s="1"/>
  <c r="B30" i="1"/>
  <c r="CR30" i="1" s="1"/>
  <c r="B46" i="1"/>
  <c r="CR46" i="1" s="1"/>
  <c r="B71" i="1"/>
  <c r="CR71" i="1" s="1"/>
  <c r="B69" i="1"/>
  <c r="CR69" i="1" s="1"/>
  <c r="B70" i="1"/>
  <c r="CR70" i="1" s="1"/>
  <c r="B63" i="1"/>
  <c r="CR63" i="1" s="1"/>
  <c r="D61" i="1"/>
  <c r="CT61" i="1" s="1"/>
  <c r="H64" i="1"/>
  <c r="B64" i="1" s="1"/>
  <c r="CR64" i="1" s="1"/>
  <c r="CR17" i="1"/>
  <c r="CR139" i="1" l="1"/>
  <c r="CS100" i="1"/>
  <c r="CS93" i="1"/>
  <c r="CS106" i="1"/>
  <c r="CS101" i="1"/>
  <c r="CX64" i="1"/>
  <c r="H61" i="1"/>
  <c r="L63" i="1" s="1"/>
  <c r="CX61" i="1" l="1"/>
  <c r="H63" i="1"/>
  <c r="B67" i="1" s="1"/>
  <c r="E65" i="1" l="1"/>
  <c r="CU65" i="1" s="1"/>
  <c r="CX63" i="1"/>
  <c r="B66" i="1"/>
  <c r="CR66" i="1" s="1"/>
  <c r="CR6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Rafaela</author>
    <author>Rafaela Moron</author>
  </authors>
  <commentList>
    <comment ref="D16" authorId="0" shapeId="0" xr:uid="{00000000-0006-0000-0100-000001000000}">
      <text>
        <r>
          <rPr>
            <b/>
            <sz val="9"/>
            <color indexed="81"/>
            <rFont val="Tahoma"/>
            <family val="2"/>
          </rPr>
          <t>Rafaela:</t>
        </r>
        <r>
          <rPr>
            <sz val="9"/>
            <color indexed="81"/>
            <rFont val="Tahoma"/>
            <family val="2"/>
          </rPr>
          <t xml:space="preserve">
Fecha del congreso, Workshops, curso trabajo de campo, reunión, etc</t>
        </r>
      </text>
    </comment>
    <comment ref="G24" authorId="0" shapeId="0" xr:uid="{00000000-0006-0000-0100-000002000000}">
      <text>
        <r>
          <rPr>
            <b/>
            <sz val="9"/>
            <color indexed="81"/>
            <rFont val="Tahoma"/>
            <family val="2"/>
          </rPr>
          <t xml:space="preserve">factura abonada por el investigador
</t>
        </r>
        <r>
          <rPr>
            <sz val="9"/>
            <color indexed="81"/>
            <rFont val="Tahoma"/>
            <family val="2"/>
          </rPr>
          <t xml:space="preserve">
Las facturas de: alojamiento, locomoción, inscripción a congreso, curso, workshops, etc. Abonadas por el profesor, deben consignar su DNI y nombre, nunca  el CIF de la US.</t>
        </r>
      </text>
    </comment>
    <comment ref="G25" authorId="0" shapeId="0" xr:uid="{00000000-0006-0000-0100-000003000000}">
      <text>
        <r>
          <rPr>
            <b/>
            <sz val="9"/>
            <color indexed="81"/>
            <rFont val="Tahoma"/>
            <family val="2"/>
          </rPr>
          <t xml:space="preserve">Pago a la Agencia de Viaje
</t>
        </r>
        <r>
          <rPr>
            <sz val="9"/>
            <color indexed="81"/>
            <rFont val="Tahoma"/>
            <family val="2"/>
          </rPr>
          <t xml:space="preserv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
</t>
        </r>
      </text>
    </comment>
    <comment ref="G39" authorId="0" shapeId="0" xr:uid="{00000000-0006-0000-0100-000004000000}">
      <text>
        <r>
          <rPr>
            <b/>
            <sz val="9"/>
            <color indexed="81"/>
            <rFont val="Tahoma"/>
            <family val="2"/>
          </rPr>
          <t xml:space="preserve">factura abonada por el investigador
</t>
        </r>
        <r>
          <rPr>
            <sz val="9"/>
            <color indexed="81"/>
            <rFont val="Tahoma"/>
            <family val="2"/>
          </rPr>
          <t xml:space="preserve">
Las facturas de: alojamiento, locomoción, inscripción a congreso, curso, workshops, etc. Abonadas por el profesor, deben consignar su DNI y nombre, nunca  el CIF de la US.</t>
        </r>
      </text>
    </comment>
    <comment ref="G40" authorId="0" shapeId="0" xr:uid="{00000000-0006-0000-0100-000005000000}">
      <text>
        <r>
          <rPr>
            <b/>
            <sz val="9"/>
            <color indexed="81"/>
            <rFont val="Tahoma"/>
            <family val="2"/>
          </rPr>
          <t xml:space="preserve">Pago a la Agencia de Viaje
</t>
        </r>
        <r>
          <rPr>
            <sz val="9"/>
            <color indexed="81"/>
            <rFont val="Tahoma"/>
            <family val="2"/>
          </rPr>
          <t xml:space="preserv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
</t>
        </r>
      </text>
    </comment>
    <comment ref="C43" authorId="1" shapeId="0" xr:uid="{00000000-0006-0000-0100-000006000000}">
      <text>
        <r>
          <rPr>
            <sz val="8"/>
            <color indexed="81"/>
            <rFont val="Tahoma"/>
            <family val="2"/>
          </rPr>
          <t xml:space="preserve">
 </t>
        </r>
        <r>
          <rPr>
            <b/>
            <sz val="9"/>
            <color indexed="81"/>
            <rFont val="Tahoma"/>
            <family val="2"/>
          </rPr>
          <t>• Para trabajadores que no tengan vinculación contractual con la administración pública española.
• El importe máximo a pagar será el que corresponda según el decreto de dietas.
• La documentación a aportar debe ser facturas simplificadas originales de comidas sin superar el decreto de dietas por día.
.</t>
        </r>
        <r>
          <rPr>
            <sz val="8"/>
            <color indexed="81"/>
            <rFont val="Tahoma"/>
            <family val="2"/>
          </rPr>
          <t xml:space="preserve">
</t>
        </r>
      </text>
    </comment>
    <comment ref="C50" authorId="1" shapeId="0" xr:uid="{00000000-0006-0000-0100-000007000000}">
      <text>
        <r>
          <rPr>
            <b/>
            <sz val="8"/>
            <color indexed="81"/>
            <rFont val="Tahoma"/>
            <family val="2"/>
          </rPr>
          <t xml:space="preserve">Rafaela Moron:
</t>
        </r>
        <r>
          <rPr>
            <sz val="8"/>
            <color indexed="81"/>
            <rFont val="Tahoma"/>
            <family val="2"/>
          </rPr>
          <t xml:space="preserve">
</t>
        </r>
        <r>
          <rPr>
            <b/>
            <sz val="8"/>
            <color indexed="10"/>
            <rFont val="Tahoma"/>
            <family val="2"/>
          </rPr>
          <t>UTILIZACIÓN DEL VEHÍCULO PARTICULAR</t>
        </r>
        <r>
          <rPr>
            <sz val="8"/>
            <color indexed="81"/>
            <rFont val="Tahoma"/>
            <family val="2"/>
          </rPr>
          <t xml:space="preserve">
Con carácter general los desplazamientos se realizarán en</t>
        </r>
        <r>
          <rPr>
            <b/>
            <sz val="8"/>
            <color indexed="81"/>
            <rFont val="Tahoma"/>
            <family val="2"/>
          </rPr>
          <t xml:space="preserve"> transporte público y clase turista, primando siempre el principio de economía,</t>
        </r>
        <r>
          <rPr>
            <sz val="8"/>
            <color indexed="81"/>
            <rFont val="Tahoma"/>
            <family val="2"/>
          </rPr>
          <t xml:space="preserve"> siendo excepcional el uso del vehículo particular y siempre que sea la opción más económica, debiendo quedar justificado dicha circunstancia en la comisión de servicio autorizada por su institución.</t>
        </r>
        <r>
          <rPr>
            <b/>
            <sz val="8"/>
            <color indexed="32"/>
            <rFont val="Tahoma"/>
            <family val="2"/>
          </rPr>
          <t xml:space="preserve"> IMPORTANTE: adjuntar la declración responsable.
</t>
        </r>
        <r>
          <rPr>
            <b/>
            <sz val="8"/>
            <color indexed="10"/>
            <rFont val="Tahoma"/>
            <family val="2"/>
          </rPr>
          <t xml:space="preserve">
Gasolina:</t>
        </r>
        <r>
          <rPr>
            <b/>
            <sz val="8"/>
            <color indexed="37"/>
            <rFont val="Tahoma"/>
            <family val="2"/>
          </rPr>
          <t xml:space="preserve"> </t>
        </r>
        <r>
          <rPr>
            <b/>
            <sz val="8"/>
            <color indexed="32"/>
            <rFont val="Tahoma"/>
            <family val="2"/>
          </rPr>
          <t xml:space="preserve">sólo para vehículo de alquiler o del grupo de investigación y si el gasto es admisible en el proyecto, detallando el vehículo, fecha, kilómetros desplazados y motivo del viaje
</t>
        </r>
        <r>
          <rPr>
            <sz val="8"/>
            <color indexed="81"/>
            <rFont val="Tahoma"/>
            <family val="2"/>
          </rPr>
          <t xml:space="preserve">
</t>
        </r>
        <r>
          <rPr>
            <sz val="8"/>
            <color indexed="81"/>
            <rFont val="Tahoma"/>
            <family val="2"/>
          </rPr>
          <t xml:space="preserve"> </t>
        </r>
        <r>
          <rPr>
            <b/>
            <sz val="8"/>
            <color indexed="10"/>
            <rFont val="Tahoma"/>
            <family val="2"/>
          </rPr>
          <t>Para vehículo propio</t>
        </r>
        <r>
          <rPr>
            <sz val="8"/>
            <color indexed="81"/>
            <rFont val="Tahoma"/>
            <family val="2"/>
          </rPr>
          <t xml:space="preserve"> sólo kilometraje
Las distancias entre las distintas localidades, en general, serán calculadas con arreglo a las que figuren en el Mapa Oficial de Carreteras editado por el Ministerio de Obras Públicas y Urbanismo.</t>
        </r>
      </text>
    </comment>
    <comment ref="D52" authorId="0" shapeId="0" xr:uid="{00000000-0006-0000-0100-000008000000}">
      <text>
        <r>
          <rPr>
            <b/>
            <sz val="9"/>
            <color indexed="81"/>
            <rFont val="Tahoma"/>
            <family val="2"/>
          </rPr>
          <t xml:space="preserve">Pago a la Agencia de Viajes
</t>
        </r>
        <r>
          <rPr>
            <sz val="9"/>
            <color indexed="81"/>
            <rFont val="Tahoma"/>
            <family val="2"/>
          </rPr>
          <t xml:space="preserve">
</t>
        </r>
      </text>
    </comment>
    <comment ref="F52" authorId="0" shapeId="0" xr:uid="{00000000-0006-0000-0100-000009000000}">
      <text>
        <r>
          <rPr>
            <b/>
            <sz val="9"/>
            <color indexed="81"/>
            <rFont val="Tahoma"/>
            <family val="2"/>
          </rPr>
          <t xml:space="preserve">Pago a la Agencia de Viajes
</t>
        </r>
        <r>
          <rPr>
            <sz val="9"/>
            <color indexed="81"/>
            <rFont val="Tahoma"/>
            <family val="2"/>
          </rPr>
          <t xml:space="preserve">
</t>
        </r>
      </text>
    </comment>
    <comment ref="F57" authorId="0" shapeId="0" xr:uid="{00000000-0006-0000-0100-00000A000000}">
      <text>
        <r>
          <rPr>
            <b/>
            <sz val="9"/>
            <color indexed="81"/>
            <rFont val="Tahoma"/>
            <family val="2"/>
          </rPr>
          <t xml:space="preserve">gasto de inscripcion
</t>
        </r>
        <r>
          <rPr>
            <sz val="9"/>
            <color indexed="81"/>
            <rFont val="Tahoma"/>
            <family val="2"/>
          </rPr>
          <t xml:space="preserve">
</t>
        </r>
      </text>
    </comment>
    <comment ref="G57" authorId="0" shapeId="0" xr:uid="{00000000-0006-0000-0100-00000B000000}">
      <text>
        <r>
          <rPr>
            <b/>
            <sz val="9"/>
            <color indexed="10"/>
            <rFont val="Tahoma"/>
            <family val="2"/>
          </rPr>
          <t>otros documentos</t>
        </r>
        <r>
          <rPr>
            <b/>
            <sz val="9"/>
            <color indexed="81"/>
            <rFont val="Tahoma"/>
            <family val="2"/>
          </rPr>
          <t xml:space="preserve">
ej. *Gastos de publicación de abstracts (cuando la inscripción no lo cubre) 
*Asistencia a workshops (cuando la inscripción no lo cubre)
*</t>
        </r>
        <r>
          <rPr>
            <b/>
            <sz val="9"/>
            <color indexed="10"/>
            <rFont val="Tahoma"/>
            <family val="2"/>
          </rPr>
          <t xml:space="preserve">Los gastos del poster </t>
        </r>
        <r>
          <rPr>
            <b/>
            <sz val="9"/>
            <color indexed="81"/>
            <rFont val="Tahoma"/>
            <family val="2"/>
          </rPr>
          <t xml:space="preserve"> deben consigar el CIF de la US. (Q4118001I) y tramitarse con una reserva de crédito o acuerdo marco, también le recordamos que debe presentar la publicidad del poster con los logos correspondiente.
</t>
        </r>
      </text>
    </comment>
    <comment ref="F58" authorId="0" shapeId="0" xr:uid="{00000000-0006-0000-0100-00000C000000}">
      <text>
        <r>
          <rPr>
            <b/>
            <sz val="9"/>
            <color indexed="81"/>
            <rFont val="Tahoma"/>
            <family val="2"/>
          </rPr>
          <t xml:space="preserve">gasto de inscripcion
</t>
        </r>
        <r>
          <rPr>
            <sz val="9"/>
            <color indexed="81"/>
            <rFont val="Tahoma"/>
            <family val="2"/>
          </rPr>
          <t xml:space="preserve">
</t>
        </r>
      </text>
    </comment>
    <comment ref="G58" authorId="0" shapeId="0" xr:uid="{00000000-0006-0000-0100-00000D000000}">
      <text>
        <r>
          <rPr>
            <b/>
            <sz val="9"/>
            <color indexed="10"/>
            <rFont val="Tahoma"/>
            <family val="2"/>
          </rPr>
          <t xml:space="preserve">otros documentos:
</t>
        </r>
        <r>
          <rPr>
            <b/>
            <sz val="9"/>
            <color indexed="81"/>
            <rFont val="Tahoma"/>
            <family val="2"/>
          </rPr>
          <t xml:space="preserve">
ej. *</t>
        </r>
        <r>
          <rPr>
            <b/>
            <sz val="9"/>
            <color indexed="10"/>
            <rFont val="Tahoma"/>
            <family val="2"/>
          </rPr>
          <t>Gastos de publicación de abstracts</t>
        </r>
        <r>
          <rPr>
            <b/>
            <sz val="9"/>
            <color indexed="81"/>
            <rFont val="Tahoma"/>
            <family val="2"/>
          </rPr>
          <t xml:space="preserve"> (cuando la inscripción no lo cubre) 
*</t>
        </r>
        <r>
          <rPr>
            <b/>
            <sz val="9"/>
            <color indexed="10"/>
            <rFont val="Tahoma"/>
            <family val="2"/>
          </rPr>
          <t>Asistencia a workshops</t>
        </r>
        <r>
          <rPr>
            <b/>
            <sz val="9"/>
            <color indexed="81"/>
            <rFont val="Tahoma"/>
            <family val="2"/>
          </rPr>
          <t xml:space="preserve"> (cuando la inscripción no lo cubre)
*</t>
        </r>
        <r>
          <rPr>
            <b/>
            <sz val="9"/>
            <color indexed="10"/>
            <rFont val="Tahoma"/>
            <family val="2"/>
          </rPr>
          <t xml:space="preserve">Los gastos del poster </t>
        </r>
        <r>
          <rPr>
            <b/>
            <sz val="9"/>
            <color indexed="81"/>
            <rFont val="Tahoma"/>
            <family val="2"/>
          </rPr>
          <t xml:space="preserve"> deben consigar el CIF de la US. (Q4118001I) y tramitarse con una reserva de crédito o acuerdo marco, también le recordamos que debe presentar la publicidad del poster con los logos correspondiente.</t>
        </r>
      </text>
    </comment>
    <comment ref="D59" authorId="0" shapeId="0" xr:uid="{00000000-0006-0000-0100-00000E000000}">
      <text>
        <r>
          <rPr>
            <b/>
            <sz val="9"/>
            <color indexed="81"/>
            <rFont val="Tahoma"/>
            <family val="2"/>
          </rPr>
          <t>Rafaela:</t>
        </r>
        <r>
          <rPr>
            <sz val="9"/>
            <color indexed="81"/>
            <rFont val="Tahoma"/>
            <family val="2"/>
          </rPr>
          <t xml:space="preserve">
</t>
        </r>
        <r>
          <rPr>
            <b/>
            <sz val="9"/>
            <color indexed="37"/>
            <rFont val="Tahoma"/>
            <family val="2"/>
          </rPr>
          <t xml:space="preserve">Si ha solicitado un anticipo, no olvide adjuntar una copia de la orden de pago.
</t>
        </r>
      </text>
    </comment>
    <comment ref="H66" authorId="0" shapeId="0" xr:uid="{00000000-0006-0000-0100-00000F000000}">
      <text>
        <r>
          <rPr>
            <b/>
            <sz val="9"/>
            <color indexed="81"/>
            <rFont val="Tahoma"/>
            <family val="2"/>
          </rPr>
          <t>Rafaela Morón:
1)Si no quiere renunciar no inserte ningún importe.</t>
        </r>
        <r>
          <rPr>
            <sz val="9"/>
            <color indexed="81"/>
            <rFont val="Tahoma"/>
            <family val="2"/>
          </rPr>
          <t xml:space="preserve">
</t>
        </r>
        <r>
          <rPr>
            <b/>
            <sz val="9"/>
            <color indexed="32"/>
            <rFont val="Tahoma"/>
            <family val="2"/>
          </rPr>
          <t xml:space="preserve">2)Los importes recibidos con anticipo no se consideran renuncia.
</t>
        </r>
        <r>
          <rPr>
            <sz val="9"/>
            <color indexed="81"/>
            <rFont val="Tahoma"/>
            <family val="2"/>
          </rPr>
          <t xml:space="preserve">
</t>
        </r>
        <r>
          <rPr>
            <b/>
            <sz val="9"/>
            <color indexed="81"/>
            <rFont val="Tahoma"/>
            <family val="2"/>
          </rPr>
          <t>2) El importe que indique en la celda será</t>
        </r>
        <r>
          <rPr>
            <b/>
            <u/>
            <sz val="9"/>
            <color indexed="81"/>
            <rFont val="Tahoma"/>
            <family val="2"/>
          </rPr>
          <t xml:space="preserve"> el total que percibirá por su viaje incluido el anticipo (caso que se haya solicitado). </t>
        </r>
        <r>
          <rPr>
            <b/>
            <sz val="9"/>
            <color indexed="81"/>
            <rFont val="Tahoma"/>
            <family val="2"/>
          </rPr>
          <t>Si no quiere renunciar no inserte ningun importe.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Rafaela</author>
    <author>Rafaela Moron</author>
  </authors>
  <commentList>
    <comment ref="D13" authorId="0" shapeId="0" xr:uid="{00000000-0006-0000-0300-000001000000}">
      <text>
        <r>
          <rPr>
            <b/>
            <sz val="9"/>
            <color indexed="81"/>
            <rFont val="Tahoma"/>
            <family val="2"/>
          </rPr>
          <t>Rafaela:</t>
        </r>
        <r>
          <rPr>
            <sz val="9"/>
            <color indexed="81"/>
            <rFont val="Tahoma"/>
            <family val="2"/>
          </rPr>
          <t xml:space="preserve">
Fecha del congreso, Workshops, curso trabajo de campo, reunión, etc</t>
        </r>
      </text>
    </comment>
    <comment ref="G21" authorId="0" shapeId="0" xr:uid="{00000000-0006-0000-0300-000002000000}">
      <text>
        <r>
          <rPr>
            <b/>
            <sz val="9"/>
            <color indexed="10"/>
            <rFont val="Tahoma"/>
            <family val="2"/>
          </rPr>
          <t>factura abonada por el investigador</t>
        </r>
        <r>
          <rPr>
            <b/>
            <sz val="9"/>
            <color indexed="81"/>
            <rFont val="Tahoma"/>
            <family val="2"/>
          </rPr>
          <t xml:space="preserve">
Las facturas de: alojamiento, locomoción, inscripción a congreso, curso, workshops, etc. Abonadas por el profesor, deben consignar su DNI y nombre, nunca  el CIF de la US.
</t>
        </r>
      </text>
    </comment>
    <comment ref="G22" authorId="0" shapeId="0" xr:uid="{00000000-0006-0000-0300-000003000000}">
      <text>
        <r>
          <rPr>
            <b/>
            <sz val="9"/>
            <color indexed="81"/>
            <rFont val="Tahoma"/>
            <family val="2"/>
          </rPr>
          <t>Pago a la Agencia de Viaje</t>
        </r>
        <r>
          <rPr>
            <sz val="9"/>
            <color indexed="81"/>
            <rFont val="Tahoma"/>
            <family val="2"/>
          </rPr>
          <t xml:space="preserv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
</t>
        </r>
      </text>
    </comment>
    <comment ref="G35" authorId="0" shapeId="0" xr:uid="{00000000-0006-0000-0300-000004000000}">
      <text>
        <r>
          <rPr>
            <b/>
            <sz val="9"/>
            <color indexed="10"/>
            <rFont val="Tahoma"/>
            <family val="2"/>
          </rPr>
          <t>factura abonada por el investigador</t>
        </r>
        <r>
          <rPr>
            <b/>
            <sz val="9"/>
            <color indexed="81"/>
            <rFont val="Tahoma"/>
            <family val="2"/>
          </rPr>
          <t xml:space="preserve">
Las facturas de: alojamiento, locomoción, inscripción a congreso, curso, workshops, etc. Abonadas por el profesor, deben consignar su DNI y nombre, nunca  el CIF de la US.</t>
        </r>
      </text>
    </comment>
    <comment ref="G36" authorId="0" shapeId="0" xr:uid="{00000000-0006-0000-0300-000005000000}">
      <text>
        <r>
          <rPr>
            <b/>
            <sz val="9"/>
            <color indexed="81"/>
            <rFont val="Tahoma"/>
            <family val="2"/>
          </rPr>
          <t>Pago a la Agencia de Viaje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t>
        </r>
      </text>
    </comment>
    <comment ref="C39" authorId="0" shapeId="0" xr:uid="{00000000-0006-0000-0300-000006000000}">
      <text>
        <r>
          <rPr>
            <b/>
            <sz val="9"/>
            <color indexed="81"/>
            <rFont val="Tahoma"/>
            <family val="2"/>
          </rPr>
          <t xml:space="preserve">• Para trabajadores que no tengan vinculación contractual con la administración pública española.
• El importe máximo a pagar será el que corresponda según el decreto de dietas.
• La documentación a aportar debe ser facturas simplificadas originales de comidas sin superar el decreto de dietas por día.
.
</t>
        </r>
      </text>
    </comment>
    <comment ref="G46" authorId="0" shapeId="0" xr:uid="{00000000-0006-0000-0300-000007000000}">
      <text>
        <r>
          <rPr>
            <b/>
            <sz val="9"/>
            <color indexed="10"/>
            <rFont val="Tahoma"/>
            <family val="2"/>
          </rPr>
          <t>factura abonada por el investigador</t>
        </r>
        <r>
          <rPr>
            <b/>
            <sz val="9"/>
            <color indexed="81"/>
            <rFont val="Tahoma"/>
            <family val="2"/>
          </rPr>
          <t xml:space="preserve">
Las facturas de: alojamiento, locomoción, inscripción a congreso, curso, workshops, etc. Abonadas por el profesor, deben consignar su DNI y nombre, nunca  el CIF de la US.</t>
        </r>
      </text>
    </comment>
    <comment ref="G47" authorId="0" shapeId="0" xr:uid="{00000000-0006-0000-0300-000008000000}">
      <text>
        <r>
          <rPr>
            <b/>
            <sz val="9"/>
            <color indexed="81"/>
            <rFont val="Tahoma"/>
            <family val="2"/>
          </rPr>
          <t>Pago a la Agencia de Viaje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t>
        </r>
      </text>
    </comment>
    <comment ref="C50" authorId="0" shapeId="0" xr:uid="{00000000-0006-0000-0300-000009000000}">
      <text>
        <r>
          <rPr>
            <b/>
            <sz val="9"/>
            <color indexed="81"/>
            <rFont val="Tahoma"/>
            <family val="2"/>
          </rPr>
          <t xml:space="preserve">• Para trabajadores que no tengan vinculación contractual con la administración pública española.
• El importe máximo a pagar será el que corresponda según el decreto de dietas.
• La documentación a aportar debe ser facturas simplificadas originales de comidas sin superar el decreto de dietas por día.
.
</t>
        </r>
      </text>
    </comment>
    <comment ref="G57" authorId="0" shapeId="0" xr:uid="{00000000-0006-0000-0300-00000A000000}">
      <text>
        <r>
          <rPr>
            <b/>
            <sz val="9"/>
            <color indexed="10"/>
            <rFont val="Tahoma"/>
            <family val="2"/>
          </rPr>
          <t>factura abonada por el investigador</t>
        </r>
        <r>
          <rPr>
            <b/>
            <sz val="9"/>
            <color indexed="81"/>
            <rFont val="Tahoma"/>
            <family val="2"/>
          </rPr>
          <t xml:space="preserve">
Las facturas de: alojamiento, locomoción, inscripción a congreso, curso, workshops, etc. Abonadas por el profesor, deben consignar su DNI y nombre, nunca  el CIF de la US.
</t>
        </r>
      </text>
    </comment>
    <comment ref="G58" authorId="0" shapeId="0" xr:uid="{00000000-0006-0000-0300-00000B000000}">
      <text>
        <r>
          <rPr>
            <b/>
            <sz val="9"/>
            <color indexed="81"/>
            <rFont val="Tahoma"/>
            <family val="2"/>
          </rPr>
          <t>Pago a la Agencia de Viaje</t>
        </r>
        <r>
          <rPr>
            <sz val="9"/>
            <color indexed="81"/>
            <rFont val="Tahoma"/>
            <family val="2"/>
          </rPr>
          <t xml:space="preserve">
Pago a la Agencia de Viaje
Las facturas de pagos a terceros (cuando la US. abona a la agencia de viajes) deben cumplir los siguientes requisitos:
1) Preferentemente deben ser de Halcón Viajes, en caso excepcionales si son de otra agencia deben gestionarse con contrato menor o en su caso acuerdo marco.
2) Las facturas deben consignar el CIF de la US.
3) No pueden incluir gastos no imputables en los proyectos como: cena de gala, excursiones etc.
4) Deben venir desglosados los importes por conceptos (alojamiento locomoción, etc.)</t>
        </r>
      </text>
    </comment>
    <comment ref="C67" authorId="1" shapeId="0" xr:uid="{00000000-0006-0000-0300-00000C000000}">
      <text>
        <r>
          <rPr>
            <b/>
            <sz val="8"/>
            <color indexed="81"/>
            <rFont val="Tahoma"/>
            <family val="2"/>
          </rPr>
          <t xml:space="preserve">Rafaela Moron:
</t>
        </r>
        <r>
          <rPr>
            <sz val="8"/>
            <color indexed="81"/>
            <rFont val="Tahoma"/>
            <family val="2"/>
          </rPr>
          <t xml:space="preserve">
</t>
        </r>
        <r>
          <rPr>
            <b/>
            <sz val="8"/>
            <color indexed="10"/>
            <rFont val="Tahoma"/>
            <family val="2"/>
          </rPr>
          <t>UTILIZACIÓN DEL VEHÍCULO PARTICULAR</t>
        </r>
        <r>
          <rPr>
            <sz val="8"/>
            <color indexed="81"/>
            <rFont val="Tahoma"/>
            <family val="2"/>
          </rPr>
          <t xml:space="preserve">
Con carácter general los desplazamientos se realizarán en</t>
        </r>
        <r>
          <rPr>
            <b/>
            <sz val="8"/>
            <color indexed="81"/>
            <rFont val="Tahoma"/>
            <family val="2"/>
          </rPr>
          <t xml:space="preserve"> transporte público y clase turista, primando siempre el principio de economía,</t>
        </r>
        <r>
          <rPr>
            <sz val="8"/>
            <color indexed="81"/>
            <rFont val="Tahoma"/>
            <family val="2"/>
          </rPr>
          <t xml:space="preserve"> siendo excepcional el uso del vehículo particular y siempre que sea la opción más económica, debiendo quedar justificado dicha circunstancia en la comisión de servicio autorizada por su institución.</t>
        </r>
        <r>
          <rPr>
            <b/>
            <sz val="8"/>
            <color indexed="32"/>
            <rFont val="Tahoma"/>
            <family val="2"/>
          </rPr>
          <t xml:space="preserve"> IMPORTANTE: Ajuntar declaración responsable.
</t>
        </r>
        <r>
          <rPr>
            <b/>
            <sz val="8"/>
            <color indexed="10"/>
            <rFont val="Tahoma"/>
            <family val="2"/>
          </rPr>
          <t>Gasolina</t>
        </r>
        <r>
          <rPr>
            <b/>
            <sz val="8"/>
            <color indexed="32"/>
            <rFont val="Tahoma"/>
            <family val="2"/>
          </rPr>
          <t>: sólo para vehículo de alquiler o del grupo de investigación y si el gasto es admisible en el proyecto, detallando el vehículo, fecha, kilómetros desplazados y motivo del viaje</t>
        </r>
        <r>
          <rPr>
            <sz val="8"/>
            <color indexed="81"/>
            <rFont val="Tahoma"/>
            <family val="2"/>
          </rPr>
          <t xml:space="preserve">
</t>
        </r>
        <r>
          <rPr>
            <sz val="8"/>
            <color indexed="81"/>
            <rFont val="Tahoma"/>
            <family val="2"/>
          </rPr>
          <t xml:space="preserve"> </t>
        </r>
        <r>
          <rPr>
            <b/>
            <sz val="8"/>
            <color indexed="10"/>
            <rFont val="Tahoma"/>
            <family val="2"/>
          </rPr>
          <t>Para vehículo propio</t>
        </r>
        <r>
          <rPr>
            <sz val="8"/>
            <color indexed="81"/>
            <rFont val="Tahoma"/>
            <family val="2"/>
          </rPr>
          <t xml:space="preserve"> sólo kilometraje
Las distancias entre las distintas localidades, en general, serán calculadas con arreglo a las que figuren en el Mapa Oficial de Carreteras editado por el Ministerio de Obras Públicas y Urbanismo.</t>
        </r>
      </text>
    </comment>
    <comment ref="D69" authorId="0" shapeId="0" xr:uid="{00000000-0006-0000-0300-00000D000000}">
      <text>
        <r>
          <rPr>
            <b/>
            <sz val="9"/>
            <color indexed="81"/>
            <rFont val="Tahoma"/>
            <family val="2"/>
          </rPr>
          <t xml:space="preserve">Pago a la Agencia de Viaje
</t>
        </r>
        <r>
          <rPr>
            <sz val="9"/>
            <color indexed="81"/>
            <rFont val="Tahoma"/>
            <family val="2"/>
          </rPr>
          <t xml:space="preserve">
</t>
        </r>
      </text>
    </comment>
    <comment ref="F69" authorId="0" shapeId="0" xr:uid="{00000000-0006-0000-0300-00000E000000}">
      <text>
        <r>
          <rPr>
            <b/>
            <sz val="9"/>
            <color indexed="81"/>
            <rFont val="Tahoma"/>
            <family val="2"/>
          </rPr>
          <t xml:space="preserve">Pago a la Agencia de Viaje
</t>
        </r>
        <r>
          <rPr>
            <sz val="9"/>
            <color indexed="81"/>
            <rFont val="Tahoma"/>
            <family val="2"/>
          </rPr>
          <t xml:space="preserve">
</t>
        </r>
      </text>
    </comment>
    <comment ref="F74" authorId="0" shapeId="0" xr:uid="{00000000-0006-0000-0300-00000F000000}">
      <text>
        <r>
          <rPr>
            <b/>
            <sz val="9"/>
            <color indexed="81"/>
            <rFont val="Tahoma"/>
            <family val="2"/>
          </rPr>
          <t xml:space="preserve">gasto de inscripción
</t>
        </r>
        <r>
          <rPr>
            <sz val="9"/>
            <color indexed="81"/>
            <rFont val="Tahoma"/>
            <family val="2"/>
          </rPr>
          <t xml:space="preserve">
</t>
        </r>
      </text>
    </comment>
    <comment ref="G74" authorId="0" shapeId="0" xr:uid="{00000000-0006-0000-0300-000010000000}">
      <text>
        <r>
          <rPr>
            <b/>
            <sz val="10"/>
            <color indexed="10"/>
            <rFont val="Tahoma"/>
            <family val="2"/>
          </rPr>
          <t xml:space="preserve">otros documentos
</t>
        </r>
        <r>
          <rPr>
            <b/>
            <sz val="10"/>
            <color indexed="81"/>
            <rFont val="Tahoma"/>
            <family val="2"/>
          </rPr>
          <t>ej. *Gastos de publicación de abstracts (cuando la inscripción no lo cubre) 
*Asistencia a workshops (cuando la inscripción no lo cubre)
*</t>
        </r>
        <r>
          <rPr>
            <b/>
            <sz val="10"/>
            <color indexed="10"/>
            <rFont val="Tahoma"/>
            <family val="2"/>
          </rPr>
          <t xml:space="preserve"> Los gastos del poster</t>
        </r>
        <r>
          <rPr>
            <b/>
            <sz val="10"/>
            <color indexed="81"/>
            <rFont val="Tahoma"/>
            <family val="2"/>
          </rPr>
          <t xml:space="preserve"> deben consigar el CIF de la US. (Q4118001I) y tramitarse con una reserva de crédito o acuerdo marco, también le recordamos que debe presentar la publicidad del poster con los logos correspondiente.
</t>
        </r>
      </text>
    </comment>
    <comment ref="F75" authorId="0" shapeId="0" xr:uid="{00000000-0006-0000-0300-000011000000}">
      <text>
        <r>
          <rPr>
            <b/>
            <sz val="9"/>
            <color indexed="81"/>
            <rFont val="Tahoma"/>
            <family val="2"/>
          </rPr>
          <t xml:space="preserve">gasto de inscripción
</t>
        </r>
        <r>
          <rPr>
            <sz val="9"/>
            <color indexed="81"/>
            <rFont val="Tahoma"/>
            <family val="2"/>
          </rPr>
          <t xml:space="preserve">
</t>
        </r>
      </text>
    </comment>
    <comment ref="G75" authorId="0" shapeId="0" xr:uid="{00000000-0006-0000-0300-000012000000}">
      <text>
        <r>
          <rPr>
            <b/>
            <sz val="10"/>
            <color indexed="10"/>
            <rFont val="Tahoma"/>
            <family val="2"/>
          </rPr>
          <t xml:space="preserve">otros documentos
</t>
        </r>
        <r>
          <rPr>
            <b/>
            <sz val="10"/>
            <color indexed="81"/>
            <rFont val="Tahoma"/>
            <family val="2"/>
          </rPr>
          <t>ej. *Gastos de publicación de abstracts (cuando la inscripción no lo cubre) 
*Asistencia a workshops (cuando la inscripción no lo cubre)
*</t>
        </r>
        <r>
          <rPr>
            <b/>
            <sz val="10"/>
            <color indexed="10"/>
            <rFont val="Tahoma"/>
            <family val="2"/>
          </rPr>
          <t xml:space="preserve"> Los gastos del poster
</t>
        </r>
        <r>
          <rPr>
            <b/>
            <sz val="10"/>
            <color indexed="81"/>
            <rFont val="Tahoma"/>
            <family val="2"/>
          </rPr>
          <t xml:space="preserve"> deben consigar el CIF de la US. (Q4118001I) y tramitarse con una reserva de crédito o acuerdo marco, también le recordamos que debe presentar la publicidad del poster con los logos correspondiente.
</t>
        </r>
      </text>
    </comment>
    <comment ref="D76" authorId="0" shapeId="0" xr:uid="{00000000-0006-0000-0300-000013000000}">
      <text>
        <r>
          <rPr>
            <b/>
            <sz val="9"/>
            <color indexed="81"/>
            <rFont val="Tahoma"/>
            <family val="2"/>
          </rPr>
          <t>Rafaela:</t>
        </r>
        <r>
          <rPr>
            <sz val="9"/>
            <color indexed="81"/>
            <rFont val="Tahoma"/>
            <family val="2"/>
          </rPr>
          <t xml:space="preserve">
</t>
        </r>
        <r>
          <rPr>
            <b/>
            <sz val="9"/>
            <color indexed="37"/>
            <rFont val="Tahoma"/>
            <family val="2"/>
          </rPr>
          <t xml:space="preserve">Si ha solicitado un anticipo, no olvide adjuntar una copia de la orden de pago.
</t>
        </r>
      </text>
    </comment>
    <comment ref="H82" authorId="0" shapeId="0" xr:uid="{00000000-0006-0000-0300-000014000000}">
      <text>
        <r>
          <rPr>
            <b/>
            <sz val="9"/>
            <color indexed="81"/>
            <rFont val="Tahoma"/>
            <family val="2"/>
          </rPr>
          <t>Rafaela Morón:
1)Si no quiere renunciar no inserte ningún importe.</t>
        </r>
        <r>
          <rPr>
            <sz val="9"/>
            <color indexed="81"/>
            <rFont val="Tahoma"/>
            <family val="2"/>
          </rPr>
          <t xml:space="preserve">
</t>
        </r>
        <r>
          <rPr>
            <b/>
            <sz val="9"/>
            <color indexed="32"/>
            <rFont val="Tahoma"/>
            <family val="2"/>
          </rPr>
          <t xml:space="preserve">2)Los importes recibidos con anticipo no se consideran renuncia.
</t>
        </r>
        <r>
          <rPr>
            <sz val="9"/>
            <color indexed="81"/>
            <rFont val="Tahoma"/>
            <family val="2"/>
          </rPr>
          <t xml:space="preserve">
</t>
        </r>
        <r>
          <rPr>
            <b/>
            <sz val="9"/>
            <color indexed="81"/>
            <rFont val="Tahoma"/>
            <family val="2"/>
          </rPr>
          <t>2) El importe que indique en la celda será el total que percibirá por su viaje. Si no quiere renunciar no inserte importe.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Rafaela</author>
  </authors>
  <commentList>
    <comment ref="I31" authorId="0" shapeId="0" xr:uid="{00000000-0006-0000-0C00-000001000000}">
      <text>
        <r>
          <rPr>
            <sz val="9"/>
            <color indexed="81"/>
            <rFont val="Tahoma"/>
            <family val="2"/>
          </rPr>
          <t xml:space="preserve">El importe máximo que se puede imputar es el que establece el correspondiente decreto de dietas, excepcionalmente y con autorización del Sr. Gerente de la US podrá solicitar la diferencia por otro proyecto/ayuda que admita el gasto.
</t>
        </r>
        <r>
          <rPr>
            <b/>
            <sz val="9"/>
            <color indexed="10"/>
            <rFont val="Tahoma"/>
            <family val="2"/>
          </rPr>
          <t>( Ver ejemplo2)</t>
        </r>
      </text>
    </comment>
    <comment ref="I35" authorId="0" shapeId="0" xr:uid="{00000000-0006-0000-0C00-000002000000}">
      <text>
        <r>
          <rPr>
            <sz val="9"/>
            <color indexed="81"/>
            <rFont val="Tahoma"/>
            <family val="2"/>
          </rPr>
          <t xml:space="preserve">
</t>
        </r>
        <r>
          <rPr>
            <b/>
            <sz val="9"/>
            <color indexed="10"/>
            <rFont val="Tahoma"/>
            <family val="2"/>
          </rPr>
          <t>*</t>
        </r>
        <r>
          <rPr>
            <b/>
            <u/>
            <sz val="9"/>
            <color indexed="81"/>
            <rFont val="Tahoma"/>
            <family val="2"/>
          </rPr>
          <t xml:space="preserve"> Factura simplificada sin el CIF de la US
</t>
        </r>
        <r>
          <rPr>
            <sz val="9"/>
            <color indexed="81"/>
            <rFont val="Tahoma"/>
            <family val="2"/>
          </rPr>
          <t xml:space="preserve">
</t>
        </r>
        <r>
          <rPr>
            <b/>
            <sz val="9"/>
            <color indexed="10"/>
            <rFont val="Tahoma"/>
            <family val="2"/>
          </rPr>
          <t>*</t>
        </r>
        <r>
          <rPr>
            <b/>
            <u/>
            <sz val="9"/>
            <color indexed="81"/>
            <rFont val="Tahoma"/>
            <family val="2"/>
          </rPr>
          <t>El importe máximo que se puede imputar es el que establece el correspondiente decreto de dietas</t>
        </r>
        <r>
          <rPr>
            <sz val="9"/>
            <color indexed="81"/>
            <rFont val="Tahoma"/>
            <family val="2"/>
          </rPr>
          <t xml:space="preserve">, excepcionalmente y con autorización del Sr. Gerente de la US podrá solicitar la diferencia por otro proyecto/ayuda que admita el gasto.
</t>
        </r>
        <r>
          <rPr>
            <b/>
            <sz val="9"/>
            <color indexed="10"/>
            <rFont val="Tahoma"/>
            <family val="2"/>
          </rPr>
          <t>( Ver ejemplo2)</t>
        </r>
      </text>
    </comment>
    <comment ref="E39" authorId="0" shapeId="0" xr:uid="{00000000-0006-0000-0C00-000003000000}">
      <text>
        <r>
          <rPr>
            <sz val="9"/>
            <color indexed="81"/>
            <rFont val="Tahoma"/>
            <family val="2"/>
          </rPr>
          <t xml:space="preserve">Solo en aquellos proyectos que admita este gasto. </t>
        </r>
        <r>
          <rPr>
            <b/>
            <sz val="9"/>
            <color indexed="10"/>
            <rFont val="Tahoma"/>
            <family val="2"/>
          </rPr>
          <t>(Ver ejemplo2)</t>
        </r>
        <r>
          <rPr>
            <sz val="9"/>
            <color indexed="81"/>
            <rFont val="Tahoma"/>
            <family val="2"/>
          </rPr>
          <t xml:space="preserve">
</t>
        </r>
      </text>
    </comment>
  </commentList>
</comments>
</file>

<file path=xl/sharedStrings.xml><?xml version="1.0" encoding="utf-8"?>
<sst xmlns="http://schemas.openxmlformats.org/spreadsheetml/2006/main" count="1281" uniqueCount="691">
  <si>
    <t>1/2 manutención</t>
  </si>
  <si>
    <t>Nº Km:</t>
  </si>
  <si>
    <t>euros/Km</t>
  </si>
  <si>
    <t>En</t>
  </si>
  <si>
    <t>ALOJAMIENTO</t>
  </si>
  <si>
    <t>ALEMANIA</t>
  </si>
  <si>
    <t>ITALIA</t>
  </si>
  <si>
    <t>FRANCIA</t>
  </si>
  <si>
    <t>ANDORRA</t>
  </si>
  <si>
    <t>ANGOLA</t>
  </si>
  <si>
    <t>ARABIA SAUDITA</t>
  </si>
  <si>
    <t>ARGELIA</t>
  </si>
  <si>
    <t>ARGENTINA</t>
  </si>
  <si>
    <t>AUSTRALIA</t>
  </si>
  <si>
    <t>AUSTRIA</t>
  </si>
  <si>
    <t>BELGICA</t>
  </si>
  <si>
    <t>BOLIVIA</t>
  </si>
  <si>
    <t>BOSNIA Y HERZEGOVINA</t>
  </si>
  <si>
    <t>BRASIL</t>
  </si>
  <si>
    <t>BULGARIA</t>
  </si>
  <si>
    <t>CANADÁ</t>
  </si>
  <si>
    <t>CAMERÚN</t>
  </si>
  <si>
    <t>CHILE</t>
  </si>
  <si>
    <t>CHINA</t>
  </si>
  <si>
    <t>COLOMBIA</t>
  </si>
  <si>
    <t>COREA</t>
  </si>
  <si>
    <t>COSTA DE MARFIL</t>
  </si>
  <si>
    <t>COSTA RICA</t>
  </si>
  <si>
    <t>CROACIA</t>
  </si>
  <si>
    <t>CUBA</t>
  </si>
  <si>
    <t>DINAMARCA</t>
  </si>
  <si>
    <t>ECUADOR</t>
  </si>
  <si>
    <t>EGIPTO</t>
  </si>
  <si>
    <t>EL SALVADOR</t>
  </si>
  <si>
    <t>EMIRATOS ARABES</t>
  </si>
  <si>
    <t>ESLOVAQUIA</t>
  </si>
  <si>
    <t>ESTADOS UNIDOS</t>
  </si>
  <si>
    <t>ETIOPIA</t>
  </si>
  <si>
    <t>FILIPINAS</t>
  </si>
  <si>
    <t>FINLANDIA</t>
  </si>
  <si>
    <t>GEBON</t>
  </si>
  <si>
    <t>GHENA</t>
  </si>
  <si>
    <t>GRECIA</t>
  </si>
  <si>
    <t>GUATEMALA</t>
  </si>
  <si>
    <t>GUINEA ECUATORIAL</t>
  </si>
  <si>
    <t>HAITI</t>
  </si>
  <si>
    <t>HONDURAS</t>
  </si>
  <si>
    <t>HONG KONG S.A.R</t>
  </si>
  <si>
    <t>HUNGRIA</t>
  </si>
  <si>
    <t>INDIA</t>
  </si>
  <si>
    <t>INDONESIA</t>
  </si>
  <si>
    <t>IRAK</t>
  </si>
  <si>
    <t>IRAN</t>
  </si>
  <si>
    <t>IRLANDA</t>
  </si>
  <si>
    <t>ISRAEL</t>
  </si>
  <si>
    <t>JAMAICA</t>
  </si>
  <si>
    <t>JAPON</t>
  </si>
  <si>
    <t>JORDANIA</t>
  </si>
  <si>
    <t>KENIA</t>
  </si>
  <si>
    <t>KUWAIT</t>
  </si>
  <si>
    <t>LIBANO</t>
  </si>
  <si>
    <t>LIBIA</t>
  </si>
  <si>
    <t>LUXEMBURGO</t>
  </si>
  <si>
    <t>MALASIA</t>
  </si>
  <si>
    <t>MALTA</t>
  </si>
  <si>
    <t>MARRUECOS</t>
  </si>
  <si>
    <t>MAURITANIA</t>
  </si>
  <si>
    <t>MEXICO</t>
  </si>
  <si>
    <t>MOZAMBIQUE</t>
  </si>
  <si>
    <t>NICARAGUA</t>
  </si>
  <si>
    <t>NIGERIA</t>
  </si>
  <si>
    <t>NORUEGA</t>
  </si>
  <si>
    <t>NUEVA ZELANDA</t>
  </si>
  <si>
    <t>PAISES BAJOS</t>
  </si>
  <si>
    <t>PAKISTAN</t>
  </si>
  <si>
    <t>PANAMÁ</t>
  </si>
  <si>
    <t>PARAGUAY</t>
  </si>
  <si>
    <t>PERÚ</t>
  </si>
  <si>
    <t>POLONIA</t>
  </si>
  <si>
    <t>PORTUGAL</t>
  </si>
  <si>
    <t>REINO UNIDO</t>
  </si>
  <si>
    <t>REPUBLICA CHECA</t>
  </si>
  <si>
    <t>REPUBLICA DOMINICANA</t>
  </si>
  <si>
    <t>RUMANIA</t>
  </si>
  <si>
    <t>RUSIA</t>
  </si>
  <si>
    <t>SENEGAL</t>
  </si>
  <si>
    <t>SINGAPUR</t>
  </si>
  <si>
    <t>SIRIA</t>
  </si>
  <si>
    <t>SUDAFRICA</t>
  </si>
  <si>
    <t>SUECIA</t>
  </si>
  <si>
    <t>SUIZA</t>
  </si>
  <si>
    <t>TAILANDIA</t>
  </si>
  <si>
    <t>TAIWAN</t>
  </si>
  <si>
    <t>TANZANIA</t>
  </si>
  <si>
    <t>TUNEZ</t>
  </si>
  <si>
    <t>TURQUÍA</t>
  </si>
  <si>
    <t>URUGUAY</t>
  </si>
  <si>
    <t>VENEZUELA</t>
  </si>
  <si>
    <t>YEMEN</t>
  </si>
  <si>
    <t>ZAIRE/CONGO</t>
  </si>
  <si>
    <t>ZIMBABWE</t>
  </si>
  <si>
    <t>RESTO DEL MUNDO</t>
  </si>
  <si>
    <t>MANUTENCION PERNOC</t>
  </si>
  <si>
    <t>Manutención sin pernoctar</t>
  </si>
  <si>
    <t>MADRID</t>
  </si>
  <si>
    <t>Alojamiento (según factura)</t>
  </si>
  <si>
    <t>Fdo.:</t>
  </si>
  <si>
    <t>INTRUSCCIONES PARA CUMPLIMENTAR LA LIQUIDACION DE DIETAS</t>
  </si>
  <si>
    <t>2) La manutención sin pernoctar y 1/2 manutención dependerá de la hora:</t>
  </si>
  <si>
    <r>
      <t>4)</t>
    </r>
    <r>
      <rPr>
        <b/>
        <sz val="10"/>
        <rFont val="Arial"/>
        <family val="2"/>
      </rPr>
      <t xml:space="preserve"> Locomoción:</t>
    </r>
    <r>
      <rPr>
        <sz val="10"/>
        <rFont val="Arial"/>
        <family val="2"/>
      </rPr>
      <t xml:space="preserve"> El medio de locomoción a utilizar deberá estar  reflejado en la Comisión de
 Servicio. Si es en vehículo particular deberá indicar la matrícula , si es en avión, tren autobús,
 etc. Deberá aportar los billetes y tarjetas de embarque.</t>
    </r>
  </si>
  <si>
    <r>
      <t>5) Gastos de Inscripción:</t>
    </r>
    <r>
      <rPr>
        <sz val="10"/>
        <rFont val="Arial"/>
        <family val="2"/>
      </rPr>
      <t xml:space="preserve"> Deberá aportar copia del Certificado de aistencia y el recibo original
 del pago emitido por el congreso.</t>
    </r>
  </si>
  <si>
    <t>7) La liquidación de dietas deberá estar firmada por el responsable del gasto y la persona que
 realiza el viaje.</t>
  </si>
  <si>
    <t>1) Los días solicitados deben coincidir con los de la Comisión de Servicio o ser menor,
 pero nunca mayor.</t>
  </si>
  <si>
    <r>
      <t xml:space="preserve">manutención sin pernoctar: </t>
    </r>
    <r>
      <rPr>
        <sz val="10"/>
        <rFont val="Arial"/>
        <family val="2"/>
      </rPr>
      <t xml:space="preserve">cuando la Comisión de servicio obligue realizar </t>
    </r>
    <r>
      <rPr>
        <sz val="10"/>
        <color indexed="12"/>
        <rFont val="Arial"/>
        <family val="2"/>
      </rPr>
      <t>las dos comidas</t>
    </r>
    <r>
      <rPr>
        <sz val="10"/>
        <rFont val="Arial"/>
        <family val="2"/>
      </rPr>
      <t xml:space="preserve"> 
principales fuera de la residencia habitual ( salida de la residencia antes de las 14 horas </t>
    </r>
    <r>
      <rPr>
        <sz val="10"/>
        <color indexed="12"/>
        <rFont val="Arial"/>
        <family val="2"/>
      </rPr>
      <t>y</t>
    </r>
    <r>
      <rPr>
        <sz val="10"/>
        <rFont val="Arial"/>
        <family val="2"/>
      </rPr>
      <t xml:space="preserve">
 llegada después de las 22 Horas)</t>
    </r>
  </si>
  <si>
    <r>
      <t xml:space="preserve">media manutención: </t>
    </r>
    <r>
      <rPr>
        <sz val="10"/>
        <rFont val="Arial"/>
        <family val="2"/>
      </rPr>
      <t xml:space="preserve">Cuando la comisión de servicio obligue realizar </t>
    </r>
    <r>
      <rPr>
        <sz val="10"/>
        <color indexed="12"/>
        <rFont val="Arial"/>
        <family val="2"/>
      </rPr>
      <t>algunas de las comidas</t>
    </r>
    <r>
      <rPr>
        <sz val="10"/>
        <rFont val="Arial"/>
        <family val="2"/>
      </rPr>
      <t xml:space="preserve">
 principales fuera de la residencia habitual ( salida de la residencia antes de las 14 horas </t>
    </r>
    <r>
      <rPr>
        <sz val="10"/>
        <color indexed="12"/>
        <rFont val="Arial"/>
        <family val="2"/>
      </rPr>
      <t>o</t>
    </r>
    <r>
      <rPr>
        <sz val="10"/>
        <rFont val="Arial"/>
        <family val="2"/>
      </rPr>
      <t xml:space="preserve">
 llegada después de las 22 horas).</t>
    </r>
  </si>
  <si>
    <r>
      <t xml:space="preserve">6) Total de la Indemnización: </t>
    </r>
    <r>
      <rPr>
        <sz val="10"/>
        <rFont val="Arial"/>
        <family val="2"/>
      </rPr>
      <t xml:space="preserve">Si desea renunciar deberá introducir manualmente en la celda
</t>
    </r>
    <r>
      <rPr>
        <sz val="10"/>
        <color indexed="10"/>
        <rFont val="Arial"/>
        <family val="2"/>
      </rPr>
      <t>TOTAL A COBRAR</t>
    </r>
    <r>
      <rPr>
        <sz val="10"/>
        <rFont val="Arial"/>
        <family val="2"/>
      </rPr>
      <t xml:space="preserve"> la cantidad que quiera le sea abonada Ej.: total indemnización 1,000 euros y renuncia a 200 euros deberá introducir en la celsda </t>
    </r>
    <r>
      <rPr>
        <sz val="10"/>
        <color indexed="10"/>
        <rFont val="Arial"/>
        <family val="2"/>
      </rPr>
      <t>"TOTAL A COBRAR "</t>
    </r>
    <r>
      <rPr>
        <sz val="10"/>
        <rFont val="Arial"/>
        <family val="2"/>
      </rPr>
      <t xml:space="preserve"> 800 euros.</t>
    </r>
  </si>
  <si>
    <t>Alojamiento (según decreto)</t>
  </si>
  <si>
    <r>
      <t xml:space="preserve">3) alojamiento: </t>
    </r>
    <r>
      <rPr>
        <sz val="10"/>
        <rFont val="Arial"/>
        <family val="2"/>
      </rPr>
      <t xml:space="preserve">Como regla general las facturas de alojamiento deben ir a nombre de la persona que realiza el viaje, ya que irá incluida en las liquidaciones de dietas.
 En caso de que el pago se realice directamente por el Servicio de Investigación al Hotel o a la Agencia de Viajes, la factura debe venir como siempre, a nombre de la Universidad de Sevila con el  CIF correspondiente (Q4118001-I).  En caso de no poder conseguir alojamiento adecuado por el importe máximo establecido en dicha normativa, se precisará autorización expresa del Sr. Gerente.
</t>
    </r>
  </si>
  <si>
    <t>vertical.</t>
  </si>
  <si>
    <r>
      <t xml:space="preserve">8) </t>
    </r>
    <r>
      <rPr>
        <b/>
        <sz val="10"/>
        <rFont val="Arial"/>
        <family val="2"/>
      </rPr>
      <t>Imprimir la liquidación de Dietas:</t>
    </r>
    <r>
      <rPr>
        <sz val="10"/>
        <rFont val="Arial"/>
        <family val="2"/>
      </rPr>
      <t xml:space="preserve"> Archivo configurar página / página / orientación</t>
    </r>
  </si>
  <si>
    <t>ÁREA DE INVESTIGACIÓN</t>
  </si>
  <si>
    <t>PARA PROYECTOS DE ÁMBITO REGIONAL Y EUROPEO</t>
  </si>
  <si>
    <t>Manutención (según factura/Ticket)</t>
  </si>
  <si>
    <t>GASTOS DE LOCOMOCIÓN</t>
  </si>
  <si>
    <t xml:space="preserve">En Sevilla a </t>
  </si>
  <si>
    <t>DECRETO DE DIETAS 54/1989</t>
  </si>
  <si>
    <t>Billetes Pagos a Terceros</t>
  </si>
  <si>
    <t>Gastos Inscripción (Pagos a Terceros)</t>
  </si>
  <si>
    <t>Pagos a Terceros</t>
  </si>
  <si>
    <t>Elija Opción</t>
  </si>
  <si>
    <t>Cuerpo o Escala.:</t>
  </si>
  <si>
    <t>Fecha Inicio</t>
  </si>
  <si>
    <t>Fecha fin</t>
  </si>
  <si>
    <t>Matrícula del Vehículo</t>
  </si>
  <si>
    <t>Alquiler coche</t>
  </si>
  <si>
    <t>Avión</t>
  </si>
  <si>
    <t>Tren</t>
  </si>
  <si>
    <t>Barco</t>
  </si>
  <si>
    <t>Bus</t>
  </si>
  <si>
    <t>Peaje</t>
  </si>
  <si>
    <t>Taxis</t>
  </si>
  <si>
    <t>Metro</t>
  </si>
  <si>
    <t>Cuerpo o Escala:</t>
  </si>
  <si>
    <t>Fecha inicio</t>
  </si>
  <si>
    <t>Dietas T. Nacional</t>
  </si>
  <si>
    <t>Dietas T. Extranjeros</t>
  </si>
  <si>
    <t>Matrícula vehículo</t>
  </si>
  <si>
    <t>Billetes pagos a Terceros</t>
  </si>
  <si>
    <t xml:space="preserve"> (Pagos a Terceros) Gastos Inscripción</t>
  </si>
  <si>
    <t>Parking</t>
  </si>
  <si>
    <t>Gasolina</t>
  </si>
  <si>
    <t>Visado</t>
  </si>
  <si>
    <t>decreto</t>
  </si>
  <si>
    <t>supera</t>
  </si>
  <si>
    <t>Elija la Opción    ▼</t>
  </si>
  <si>
    <r>
      <t xml:space="preserve">ELIJA EL PAÍS          </t>
    </r>
    <r>
      <rPr>
        <sz val="12"/>
        <rFont val="Arial"/>
        <family val="2"/>
      </rPr>
      <t>▼</t>
    </r>
  </si>
  <si>
    <t>Consulta de Km</t>
  </si>
  <si>
    <t>Consulta de KM</t>
  </si>
  <si>
    <t>días intermedios</t>
  </si>
  <si>
    <t>SÍ</t>
  </si>
  <si>
    <t>NO</t>
  </si>
  <si>
    <t>¿PARA ESTE VIAJE SE HA SOLICITADO UN ANTICIPO?</t>
  </si>
  <si>
    <t>ELIJA EL PAÍS          ▼</t>
  </si>
  <si>
    <t>(Persona que realiza el viaje)</t>
  </si>
  <si>
    <t>hh:mm</t>
  </si>
  <si>
    <t>hh: mm</t>
  </si>
  <si>
    <t>dias intermedios</t>
  </si>
  <si>
    <t>Explicación con ejemplo:</t>
  </si>
  <si>
    <t xml:space="preserve">Ejemplo: </t>
  </si>
  <si>
    <t>Fecha de salida 16/02/2018</t>
  </si>
  <si>
    <t>Total días de viaje :</t>
  </si>
  <si>
    <t>Total días de viaje:</t>
  </si>
  <si>
    <t xml:space="preserve">Con carácter general, las fechas de los viajes han de coincidir con las fechas del </t>
  </si>
  <si>
    <t xml:space="preserve">congreso/curso/workshop y hasta un día antes y un día después. No se aceptan fechas anteriores o </t>
  </si>
  <si>
    <t xml:space="preserve">posteriores salvo que se acredite la existencia de un motivo relacionado con el desarrollo del proyecto o </t>
  </si>
  <si>
    <t xml:space="preserve">posteriores a las anteriormente indicadas y derivadas de causas distintas a las relacionadas con el </t>
  </si>
  <si>
    <t xml:space="preserve">proyecto, no serán gastos elegibles los gastos de alojamiento y manutención correspondientes a dicho </t>
  </si>
  <si>
    <t xml:space="preserve">periodo. Los gastos de viaje, alojamiento y manutención que se imputen estarán limitados por los </t>
  </si>
  <si>
    <t>importes establecidos para el grupo 2 en el  Decreto de dietas 54/1989 de 21 de marzo, sobre indemnizaciones por razón del servicio</t>
  </si>
  <si>
    <t>Fecha de regreso 22/02/2018 (Total días de viaje: 7)</t>
  </si>
  <si>
    <t>Ministerio</t>
  </si>
  <si>
    <t>Junta excepto Madrid</t>
  </si>
  <si>
    <t>Junta Madrid</t>
  </si>
  <si>
    <t>R.D. 462/2002 de 24 DE MAYO</t>
  </si>
  <si>
    <t xml:space="preserve">APLICAR A PROYECTOS DE ÁMBITO NACIONAL </t>
  </si>
  <si>
    <t>MINISTERIO</t>
  </si>
  <si>
    <t>Manutención completa</t>
  </si>
  <si>
    <t>1/2 Manutención</t>
  </si>
  <si>
    <t>Alojamiento</t>
  </si>
  <si>
    <t>JUNTA</t>
  </si>
  <si>
    <t>Manutención Pernoctando</t>
  </si>
  <si>
    <t>VALIDACION</t>
  </si>
  <si>
    <t>Fecha</t>
  </si>
  <si>
    <t>Hora</t>
  </si>
  <si>
    <t>horas</t>
  </si>
  <si>
    <t>diferencia</t>
  </si>
  <si>
    <t>Motivo del viaje:</t>
  </si>
  <si>
    <t>Itinerario:</t>
  </si>
  <si>
    <t>D.N.I.:</t>
  </si>
  <si>
    <t>Lugar de destino</t>
  </si>
  <si>
    <t>€/día</t>
  </si>
  <si>
    <t>€/noche</t>
  </si>
  <si>
    <t xml:space="preserve">MANUTENCION </t>
  </si>
  <si>
    <t>1/2 MANUTEN.</t>
  </si>
  <si>
    <t>GABON</t>
  </si>
  <si>
    <t>GHANA</t>
  </si>
  <si>
    <t>SERBIA Y MONTENEGRO</t>
  </si>
  <si>
    <t>1/2 MANUTE</t>
  </si>
  <si>
    <t>EXT</t>
  </si>
  <si>
    <t>Falta indicar los días</t>
  </si>
  <si>
    <t>Falta indicar las noches</t>
  </si>
  <si>
    <t>Manu sin per EXT</t>
  </si>
  <si>
    <t>Pago a la persona</t>
  </si>
  <si>
    <t>Fecha de la actividad:</t>
  </si>
  <si>
    <t>Vinculación con el proyecto:</t>
  </si>
  <si>
    <t>Fecha de inicio</t>
  </si>
  <si>
    <t>Fecha de fin</t>
  </si>
  <si>
    <t>ANTES DE COMENZAR DEBE ELEGIR UNA OPCIÓN, MINISTERIO O JUNTA</t>
  </si>
  <si>
    <t>LIQUIDACIÓN NO VÁLIDA, DEBE ELEGIR UNA OPCIÓN, MINISTERIO O JUNTA.</t>
  </si>
  <si>
    <t>DOCUMENTACION PARA JUSTIFICACION DE VIAJES</t>
  </si>
  <si>
    <t>1) Comisión de servicio original (debidamente cumplimentada).</t>
  </si>
  <si>
    <t>b. En el apartado FINANCIACIÓN indicar la referencia del proyecto/s / orgánica/s.</t>
  </si>
  <si>
    <t>c. Con las firmas autorizadas.</t>
  </si>
  <si>
    <t>d. Si no se presenta autorización de desplazamiento ni comisión de servicio, hay que presentar un escrito explicativo aclarando el motivo.</t>
  </si>
  <si>
    <t>2) Memoria  justificativa relacionando la actividad con el desarrollo del proyecto.</t>
  </si>
  <si>
    <t xml:space="preserve">    alojamiento compartido, fecha de salida, fecha de llegada, contravalor en euros de la moneda correspondiente etc.).</t>
  </si>
  <si>
    <t xml:space="preserve">    firma y el sello del congreso.</t>
  </si>
  <si>
    <t>5) Liquidación de dietas debidamente cumplimentada.</t>
  </si>
  <si>
    <t xml:space="preserve">   en la liquidación de dietas y aportar las órdenes de pago para Halcón Viajes.</t>
  </si>
  <si>
    <t>9) Gastos de locomoción.</t>
  </si>
  <si>
    <t xml:space="preserve">   del aeropuerto a la residencia.</t>
  </si>
  <si>
    <t>e. La locomoción en la ciudad del destino se hará en trasporte público, adjuntando los ticket de metro, autobús, tren etc. donde se especifique el importe</t>
  </si>
  <si>
    <t xml:space="preserve">   del trayecto.</t>
  </si>
  <si>
    <t xml:space="preserve">  usar la Guía Michelin). Deberá imprimir el cálculo y ser adjuntado a la documentación.</t>
  </si>
  <si>
    <t>10) Gastos en moneda extranjera.</t>
  </si>
  <si>
    <t>a. Adjuntar el contravalor que se ha aplicado: (BOE a fecha del gasto, detalle de movimiento bancario del cambio realizado sin comisiones bancarias</t>
  </si>
  <si>
    <r>
      <rPr>
        <b/>
        <sz val="10"/>
        <rFont val="Arial"/>
        <family val="2"/>
      </rPr>
      <t>11) Trazabilidad del pago de todos los pagos abonados por el investigador</t>
    </r>
    <r>
      <rPr>
        <sz val="10"/>
        <rFont val="Arial"/>
        <family val="2"/>
      </rPr>
      <t xml:space="preserve"> (cargo bancario).</t>
    </r>
  </si>
  <si>
    <t>Nota Importante:</t>
  </si>
  <si>
    <t xml:space="preserve">1) Las facturas con el CIF de la US no pueden incluir conceptos que no se puedan imputar a los proyectos de investigación como: excursiones, cena de gala. </t>
  </si>
  <si>
    <t>2) En el caso de facturas de empresas encargadas de organización de congresos o cualquier otro evento similar, deben venir desglosadas indicando</t>
  </si>
  <si>
    <t xml:space="preserve"> los diferentes servicios, personas que generan esos servicios, y los importes individualizados.</t>
  </si>
  <si>
    <t>manutención</t>
  </si>
  <si>
    <t>alojamiento</t>
  </si>
  <si>
    <t>manuteción</t>
  </si>
  <si>
    <t>DECRETO DE LA JUNTA</t>
  </si>
  <si>
    <t>Manutención</t>
  </si>
  <si>
    <t>días intermedios 1º país</t>
  </si>
  <si>
    <t>días intermedios 2º país</t>
  </si>
  <si>
    <t>días intermedios 3º país</t>
  </si>
  <si>
    <t>total manuten</t>
  </si>
  <si>
    <t>Total alojam</t>
  </si>
  <si>
    <t>manutencion</t>
  </si>
  <si>
    <t>total</t>
  </si>
  <si>
    <t>manut 1º país ticket</t>
  </si>
  <si>
    <t>decreto 54/1989</t>
  </si>
  <si>
    <t>manut 2º pais ticket</t>
  </si>
  <si>
    <t>manut</t>
  </si>
  <si>
    <t>alojam 3 pais</t>
  </si>
  <si>
    <t>3 pias</t>
  </si>
  <si>
    <t>a</t>
  </si>
  <si>
    <t xml:space="preserve">REFERENCIA: </t>
  </si>
  <si>
    <t>IMPORTES</t>
  </si>
  <si>
    <t>Nº de factura/Nº de Justificante</t>
  </si>
  <si>
    <t>¿Quién Viaja?</t>
  </si>
  <si>
    <t>Vinculación con el proyecto (1)</t>
  </si>
  <si>
    <t xml:space="preserve">Itinerario </t>
  </si>
  <si>
    <t>¿A dónde se viaja?</t>
  </si>
  <si>
    <t>Motivo del Viaje (2)</t>
  </si>
  <si>
    <t>Inicio y fin del viaje (3)</t>
  </si>
  <si>
    <t>Medio de locomoción (4)</t>
  </si>
  <si>
    <t>Fecha del congreso (en su caso)</t>
  </si>
  <si>
    <t>Locomoción (4)</t>
  </si>
  <si>
    <t>Alojamiento (5)</t>
  </si>
  <si>
    <t>Manutención (6)</t>
  </si>
  <si>
    <t>Suma (4+5+6)</t>
  </si>
  <si>
    <t>Gastos Inscripción congreso (en su caso)</t>
  </si>
  <si>
    <t>Observaciones</t>
  </si>
  <si>
    <t>fecha inico</t>
  </si>
  <si>
    <t>fecha fin</t>
  </si>
  <si>
    <t>actividad</t>
  </si>
  <si>
    <t>locomocion</t>
  </si>
  <si>
    <t>GATOS INSCRIPCION</t>
  </si>
  <si>
    <t>alojamiento extranjero</t>
  </si>
  <si>
    <t>Manutencion T extranjero</t>
  </si>
  <si>
    <t>Alojamiento Pagos a Terceros</t>
  </si>
  <si>
    <t>TOTAL ALOJAMIENTO</t>
  </si>
  <si>
    <t>TOTAL LOCOMOCIÓN</t>
  </si>
  <si>
    <t>TOTAL MANUTENCIÓN</t>
  </si>
  <si>
    <t>Desglosado en:</t>
  </si>
  <si>
    <t>T. Extranjero</t>
  </si>
  <si>
    <t>T. Nacional del</t>
  </si>
  <si>
    <t>Alojamiento T. Nacional</t>
  </si>
  <si>
    <t>Manutención T.Nacional</t>
  </si>
  <si>
    <t>1º pais</t>
  </si>
  <si>
    <t>2º país</t>
  </si>
  <si>
    <t>3º país</t>
  </si>
  <si>
    <t>inicio</t>
  </si>
  <si>
    <t>fin</t>
  </si>
  <si>
    <t>FECHA INICO Y FIN DE LOS VIAJES</t>
  </si>
  <si>
    <t>T. Nacional: del</t>
  </si>
  <si>
    <t>ALOJAMIENTOS</t>
  </si>
  <si>
    <t>MANUTENCIONES</t>
  </si>
  <si>
    <t>FECHA ACTIVIDAD</t>
  </si>
  <si>
    <t>gatos de inscripcion</t>
  </si>
  <si>
    <t>TOTAL LOCOMOCION</t>
  </si>
  <si>
    <t>€</t>
  </si>
  <si>
    <t>Ayuda de dietas</t>
  </si>
  <si>
    <t>Datos1</t>
  </si>
  <si>
    <t>Datos3</t>
  </si>
  <si>
    <t>1º) paso</t>
  </si>
  <si>
    <t>Seleccionar la fila 5</t>
  </si>
  <si>
    <t>de la hoja (datos1) o (datos3)</t>
  </si>
  <si>
    <t xml:space="preserve">según sea el viaje: </t>
  </si>
  <si>
    <t xml:space="preserve"> si es un país extranjero (datos1)</t>
  </si>
  <si>
    <t xml:space="preserve"> si son varios países (datos3)</t>
  </si>
  <si>
    <t>Fg.:1. Archivo de liquidación de dietas</t>
  </si>
  <si>
    <t>Fg.: 2. Archivo Anexo 1</t>
  </si>
  <si>
    <t>2º) Paso</t>
  </si>
  <si>
    <t>Pegar el primer viaje en la fila 5</t>
  </si>
  <si>
    <t>Anexo de Viajes y Dietas</t>
  </si>
  <si>
    <t>en el archivo Anexo de Viajes y Dietas</t>
  </si>
  <si>
    <t>Ejemplo de anexo</t>
  </si>
  <si>
    <t>1º Elija la Opción</t>
  </si>
  <si>
    <t>LEER ANTES DE COMENZAR</t>
  </si>
  <si>
    <t xml:space="preserve">excepcional el uso del vehículo particular y siempre que sea la opción más económica, debiendo quedar justificado dicha circunstancia en la comisión de </t>
  </si>
  <si>
    <t>Declaración de uso del vehículo particular</t>
  </si>
  <si>
    <t>con .D.N.I:</t>
  </si>
  <si>
    <t>Yo, D./Dª</t>
  </si>
  <si>
    <t>En:</t>
  </si>
  <si>
    <t>Y para que conste y surta los efectos oportunos, firmo la presente.</t>
  </si>
  <si>
    <t>servicio autorizada por su institución.</t>
  </si>
  <si>
    <r>
      <t>DECLARO:</t>
    </r>
    <r>
      <rPr>
        <b/>
        <sz val="12"/>
        <color rgb="FFFF0000"/>
        <rFont val="Arial"/>
        <family val="2"/>
      </rPr>
      <t>*</t>
    </r>
  </si>
  <si>
    <t>Importe recibido por anticipo</t>
  </si>
  <si>
    <t>Nombre del perceptor:</t>
  </si>
  <si>
    <t>Nombre de todos los viajeros</t>
  </si>
  <si>
    <t>Importe justificado</t>
  </si>
  <si>
    <t>Calcule su justificación</t>
  </si>
  <si>
    <t>¿Desea renunciar a una parte?</t>
  </si>
  <si>
    <r>
      <rPr>
        <b/>
        <sz val="14"/>
        <color rgb="FFFF0000"/>
        <rFont val="Arial"/>
        <family val="2"/>
      </rPr>
      <t>*</t>
    </r>
    <r>
      <rPr>
        <sz val="10"/>
        <rFont val="Arial"/>
        <family val="2"/>
      </rPr>
      <t xml:space="preserve"> Justificación del uso del vehículo particular, ya que con carácter general los desplazamientos se realizarán</t>
    </r>
  </si>
  <si>
    <t xml:space="preserve"> en transporte público y clase turista, primando siempre el principio de economía.</t>
  </si>
  <si>
    <t>Nº</t>
  </si>
  <si>
    <t>¿Quién viaja?</t>
  </si>
  <si>
    <t>Vinculación con el proyecto</t>
  </si>
  <si>
    <t xml:space="preserve">Motivo del Viaje </t>
  </si>
  <si>
    <t>Inicio y fin del viaje</t>
  </si>
  <si>
    <t>Gastos de inscripcion</t>
  </si>
  <si>
    <t>Fecha del congreso</t>
  </si>
  <si>
    <t>otros documentos</t>
  </si>
  <si>
    <t>vehiculo particular</t>
  </si>
  <si>
    <t>€;</t>
  </si>
  <si>
    <t>€/N</t>
  </si>
  <si>
    <t>ALOJ.</t>
  </si>
  <si>
    <t>Alojamiento( Pagos a Terceros)</t>
  </si>
  <si>
    <t>€/D</t>
  </si>
  <si>
    <t>1/2M</t>
  </si>
  <si>
    <t>PER</t>
  </si>
  <si>
    <t>FACT</t>
  </si>
  <si>
    <t>SIN/PER</t>
  </si>
  <si>
    <t>MANUT.</t>
  </si>
  <si>
    <t>Adjunte esta hoja.</t>
  </si>
  <si>
    <t>Hoja para la grabación.</t>
  </si>
  <si>
    <t>TOTAL ALEMANIA</t>
  </si>
  <si>
    <t>TOTAL ITALIA</t>
  </si>
  <si>
    <t>TOTAL FRANCIA</t>
  </si>
  <si>
    <t>Total Alojamiento</t>
  </si>
  <si>
    <t>Total Alojamiento Pagos a Terceros</t>
  </si>
  <si>
    <t>Total Manutención</t>
  </si>
  <si>
    <t>1/2/M</t>
  </si>
  <si>
    <t>vehículo particular</t>
  </si>
  <si>
    <t>Total Locomoción</t>
  </si>
  <si>
    <t>Locomocion Pagos a Terceros</t>
  </si>
  <si>
    <t>Gastos de inscripción pagos a terceros</t>
  </si>
  <si>
    <t>Otros documentos pagos a terceros</t>
  </si>
  <si>
    <t>locom pagos a terceros</t>
  </si>
  <si>
    <t>ALOJ.ESPAÑA</t>
  </si>
  <si>
    <t>decreto o &lt;</t>
  </si>
  <si>
    <t>decreto o&lt;</t>
  </si>
  <si>
    <t>ALPROYECTO</t>
  </si>
  <si>
    <t>IVA</t>
  </si>
  <si>
    <t>BI</t>
  </si>
  <si>
    <t>TOTAL FAC</t>
  </si>
  <si>
    <t>*</t>
  </si>
  <si>
    <t>decreto&lt;0</t>
  </si>
  <si>
    <t>t.Fact</t>
  </si>
  <si>
    <t>AL PROYECTO</t>
  </si>
  <si>
    <t>España</t>
  </si>
  <si>
    <t>ESPAÑA</t>
  </si>
  <si>
    <t>GRABAR FACT.SEGÚN DIETAS</t>
  </si>
  <si>
    <t>GRABAR FACTURA PAGOS A TERCEROS 10% IVA</t>
  </si>
  <si>
    <t>ALOJAMIENTOS NUEVA LEY DE CONTRATOS</t>
  </si>
  <si>
    <t>MANUTENCION EN VARIOS PAÍSES</t>
  </si>
  <si>
    <t>MANT.</t>
  </si>
  <si>
    <t>Imputar</t>
  </si>
  <si>
    <t>imputar</t>
  </si>
  <si>
    <t>d. Deben venir desglosados los importes por conceptos (alojamiento locomoción, etc.)</t>
  </si>
  <si>
    <t>(Para proyectos del Ministerio RD 462/2002 y para proyectos de la Junta Decreto 54/1989).</t>
  </si>
  <si>
    <r>
      <t xml:space="preserve">Con carácter general los desplazamientos se realizarán en transporte público y clase turista, </t>
    </r>
    <r>
      <rPr>
        <b/>
        <i/>
        <u/>
        <sz val="10"/>
        <color rgb="FFA50021"/>
        <rFont val="Arial"/>
        <family val="2"/>
      </rPr>
      <t xml:space="preserve">primando siempre el principio de economía, </t>
    </r>
    <r>
      <rPr>
        <b/>
        <sz val="10"/>
        <color rgb="FFA50021"/>
        <rFont val="Arial"/>
        <family val="2"/>
      </rPr>
      <t xml:space="preserve">siendo </t>
    </r>
  </si>
  <si>
    <t xml:space="preserve">detallando el vehículo, fecha, kilómetros desplazados y motivo del viaje. </t>
  </si>
  <si>
    <t>Impu. Total</t>
  </si>
  <si>
    <t>Imput. Total</t>
  </si>
  <si>
    <t>GRABAR FACT. PAGOS A TERCEROS 10% IVA Imputar al proyecto.</t>
  </si>
  <si>
    <t>decreto de dietas</t>
  </si>
  <si>
    <t>ALOJ. SEGÚN  DECRETO O MENOS</t>
  </si>
  <si>
    <t>a) Seleccione el día de interés en el calendario del BOE</t>
  </si>
  <si>
    <t>b) En dicha web pulse en la palabra "completo" en el índice por secciones</t>
  </si>
  <si>
    <r>
      <rPr>
        <b/>
        <sz val="10"/>
        <rFont val="Arial"/>
        <family val="2"/>
      </rPr>
      <t>ÍNDICE POR SECCIONES</t>
    </r>
    <r>
      <rPr>
        <sz val="10"/>
        <rFont val="Arial"/>
        <family val="2"/>
      </rPr>
      <t xml:space="preserve"> / </t>
    </r>
    <r>
      <rPr>
        <b/>
        <sz val="10"/>
        <color rgb="FF000099"/>
        <rFont val="Arial"/>
        <family val="2"/>
      </rPr>
      <t>POR DEPARTAMENTOS</t>
    </r>
    <r>
      <rPr>
        <sz val="10"/>
        <rFont val="Arial"/>
        <family val="2"/>
      </rPr>
      <t> /</t>
    </r>
    <r>
      <rPr>
        <b/>
        <sz val="10"/>
        <color rgb="FFFF0000"/>
        <rFont val="Arial"/>
        <family val="2"/>
      </rPr>
      <t> COMPLETO</t>
    </r>
  </si>
  <si>
    <t xml:space="preserve"> c) Busque la palabra “divisa” pulsando                                      del teclado</t>
  </si>
  <si>
    <t xml:space="preserve"> El buscador le llevará a “Mercado de divisas”donde podrá consultar el Cambio Oficial del día en cuestión.</t>
  </si>
  <si>
    <t>Conversor</t>
  </si>
  <si>
    <t>Consulta de KM (uso vehículo particular)</t>
  </si>
  <si>
    <t>Cambio oficial del euro publicado por el Banco Central Europeo.</t>
  </si>
  <si>
    <t>d) Si la moneda no cotiza en bolsa puede utilizar un conversor de moneda</t>
  </si>
  <si>
    <t>Desglose de los gastos para justificar al Ministerio (PARA NACIONAL Y UN PAÍS EXTRANJERO)</t>
  </si>
  <si>
    <t>Desglose de los gastos para justificar al Ministerio (PARA VARIOS PAÍSES EXTRANJERO)</t>
  </si>
  <si>
    <t>R.D. 462/2002</t>
  </si>
  <si>
    <t>FECHA DE LA ACTIVIDAD/ES</t>
  </si>
  <si>
    <t xml:space="preserve">   por el Ministerio de Obras Públicas y Urbanismo. (Si las distancias quedan fuera del territorio nacional, podrá </t>
  </si>
  <si>
    <t xml:space="preserve">por ajuste horario con el lugar de destino. En el caso de que las fechas de salida y retorno sean anteriores o </t>
  </si>
  <si>
    <t>JUSTIFICACIÓN DE ANTICIPO</t>
  </si>
  <si>
    <t>importe de las liquidaciones (No incluya los pagos a Terceros)</t>
  </si>
  <si>
    <t>Declaración responsable (uso vehículo particular)</t>
  </si>
  <si>
    <t xml:space="preserve">CONSULTAR </t>
  </si>
  <si>
    <t>Dias con derecho a dietas</t>
  </si>
  <si>
    <t xml:space="preserve"> Ver días con derecho a dietas</t>
  </si>
  <si>
    <t>En este archivo se pueden hacer tanto liquidaciones de dietas regidas por el R.D. 462/2002 (Ministerio) como por el decreto 54/1989 Junta de Andalucía), para ello</t>
  </si>
  <si>
    <t xml:space="preserve"> por el Banco Central Europeo en el BOE diariamente. No se permiten buscadores web de cambio de divisas (salvo si la moneda no cotiza en bolsa). Para ello:</t>
  </si>
  <si>
    <t xml:space="preserve"> Muy importante. Para liquidar gastos en moneda extranjera debe aportar documento contable del cargo bancario, y en su defecto, utilice el Cambio Oficial publicado </t>
  </si>
  <si>
    <t>sólo tiene que elegir entre MINISTERIO  o JUNTA en la hoja de liquidación de dietas.</t>
  </si>
  <si>
    <t>Escriba aquí el código del proyecto</t>
  </si>
  <si>
    <t>a. Indicando día y hora de salida y llegada.(día de salida un día antes del evento y día de llegada un día después del evento)</t>
  </si>
  <si>
    <t>a. Factura de inscripción emitida por el congreso a su nombre y DNI.</t>
  </si>
  <si>
    <r>
      <rPr>
        <b/>
        <sz val="10"/>
        <rFont val="Arial"/>
        <family val="2"/>
      </rPr>
      <t>6) Si además hubiera pagos a Terceros como Halcón Viajes</t>
    </r>
    <r>
      <rPr>
        <sz val="10"/>
        <rFont val="Arial"/>
        <family val="2"/>
      </rPr>
      <t xml:space="preserve"> de alojamiento o locomoción, le recordamos que  debe incluirlo </t>
    </r>
  </si>
  <si>
    <t>c. No pueden incluir gastos no imputables en los proyectos como: cena de gala, excursiones minibar,etc.</t>
  </si>
  <si>
    <t xml:space="preserve">e. No puede ser una factura compartida con otra persona ni superar  lo estipulado en el decreto de dietas </t>
  </si>
  <si>
    <t>c. Trazabilidad bancaria del pago del billete de avión.</t>
  </si>
  <si>
    <t xml:space="preserve">f. Las distancias entre las distintas localidades, en general, serán calculadas según el Mapa Oficial de Carreteras editado </t>
  </si>
  <si>
    <t xml:space="preserve">   o comprobante de la  compra de la moneda extranjera sin comisiones bancarias. Para monedas que no cotizan en bolsa aplicar un conversor).</t>
  </si>
  <si>
    <t>Gasolina: sólo para vehículo de alquiler o del grupo de investigación y si el gasto es elegible en el proyecto</t>
  </si>
  <si>
    <t>Etc. No se puede abonar factura de alojamiento compartido, cada huésped deberá aportar su factura correspondiente</t>
  </si>
  <si>
    <r>
      <t xml:space="preserve">Estos kilómetros corresponde desde Sevilla a las capitales de provincias de España, (del mapa oficial de carreteras) </t>
    </r>
    <r>
      <rPr>
        <b/>
        <sz val="14"/>
        <color rgb="FF006600"/>
        <rFont val="Calibri"/>
        <family val="2"/>
        <scheme val="minor"/>
      </rPr>
      <t>sólo la ida</t>
    </r>
    <r>
      <rPr>
        <b/>
        <sz val="12"/>
        <color rgb="FF006600"/>
        <rFont val="Calibri"/>
        <family val="2"/>
        <scheme val="minor"/>
      </rPr>
      <t>.</t>
    </r>
  </si>
  <si>
    <t>alojamientos</t>
  </si>
  <si>
    <t>b. Trazabilidad del pago del congreso o curso. Cargo bancario, si se ha pagado en efectivo la factura tiene que traer el sello de pagado,</t>
  </si>
  <si>
    <t>consultar</t>
  </si>
  <si>
    <t>Fecha de la actividad/es del 19/02/2018 al 21/02/2018  (Sólo le corresponde 5 días de dietas)</t>
  </si>
  <si>
    <r>
      <t xml:space="preserve">a. </t>
    </r>
    <r>
      <rPr>
        <u/>
        <sz val="10"/>
        <rFont val="Arial"/>
        <family val="2"/>
      </rPr>
      <t>Preferentemente deben ser de Halcón Viajes, en caso excepcional si son de otra agencia deben gestionarse con contrato menor o en su caso acuerdo marco</t>
    </r>
  </si>
  <si>
    <r>
      <rPr>
        <b/>
        <u/>
        <sz val="10"/>
        <rFont val="Arial"/>
        <family val="2"/>
      </rPr>
      <t>Las facturas de pagos a terceros</t>
    </r>
    <r>
      <rPr>
        <sz val="10"/>
        <rFont val="Arial"/>
        <family val="2"/>
      </rPr>
      <t xml:space="preserve"> (cuando la US abona a la agencia de viajes) deben cumplir los siguientes requisitos:</t>
    </r>
  </si>
  <si>
    <t>b. Las facturas deben consignar el CIF de la US (Q4118001I)</t>
  </si>
  <si>
    <t xml:space="preserve">   Para el día de salida: Trayecto desde la residencia al aeropuerto / del aeropuerto al hotel. Día de llegada: Trayecto del hotel al aeropuerto / </t>
  </si>
  <si>
    <r>
      <t>7)</t>
    </r>
    <r>
      <rPr>
        <b/>
        <sz val="10"/>
        <rFont val="Arial"/>
        <family val="2"/>
      </rPr>
      <t xml:space="preserve"> Las facturas de: alojamiento, locomoción, inscripción a congreso, curso, workshops, etc., a</t>
    </r>
    <r>
      <rPr>
        <b/>
        <u/>
        <sz val="10"/>
        <rFont val="Arial"/>
        <family val="2"/>
      </rPr>
      <t>bonadas por el profesor</t>
    </r>
    <r>
      <rPr>
        <sz val="10"/>
        <rFont val="Arial"/>
        <family val="2"/>
      </rPr>
      <t xml:space="preserve">, deben consignar </t>
    </r>
  </si>
  <si>
    <r>
      <t>su DNI y nombre,</t>
    </r>
    <r>
      <rPr>
        <sz val="10"/>
        <color rgb="FFA50021"/>
        <rFont val="Arial"/>
        <family val="2"/>
      </rPr>
      <t xml:space="preserve"> </t>
    </r>
    <r>
      <rPr>
        <b/>
        <sz val="10"/>
        <color rgb="FFA50021"/>
        <rFont val="Arial"/>
        <family val="2"/>
      </rPr>
      <t>nunca</t>
    </r>
    <r>
      <rPr>
        <sz val="10"/>
        <rFont val="Arial"/>
        <family val="2"/>
      </rPr>
      <t xml:space="preserve"> con el CIF de la US. Trazabilidad del pago del hotel. Cargo bancario.</t>
    </r>
  </si>
  <si>
    <t>Si se ha pagado en efectivo la factura tiene que traer el sello de pagado, firma y el sello de la empresa.</t>
  </si>
  <si>
    <t>c. Los gastos del poster deben consignar el CIF de la US (Q4118001I) y tramitarse con una reserva de crédito o acuerdo marco.</t>
  </si>
  <si>
    <r>
      <rPr>
        <b/>
        <sz val="10"/>
        <rFont val="Arial"/>
        <family val="2"/>
      </rPr>
      <t xml:space="preserve">3) Observaciones y aclaraciones que considere necesarias sobre el viaje y la documentación presentada, </t>
    </r>
    <r>
      <rPr>
        <sz val="10"/>
        <rFont val="Arial"/>
        <family val="2"/>
      </rPr>
      <t>itinerario, importe de facturas,</t>
    </r>
  </si>
  <si>
    <t>Para vehículo propio sólo se abonará kilometraje.</t>
  </si>
  <si>
    <t>3) UTILIZACIÓN DEL VEHÍCULO PARTICULAR:</t>
  </si>
  <si>
    <r>
      <t xml:space="preserve"> ALBACETE - SEVILLA- </t>
    </r>
    <r>
      <rPr>
        <b/>
        <sz val="11"/>
        <color rgb="FF006600"/>
        <rFont val="Calibri"/>
        <family val="2"/>
        <scheme val="minor"/>
      </rPr>
      <t>516.92 Km.</t>
    </r>
  </si>
  <si>
    <r>
      <t xml:space="preserve"> A CORUÑA, -  SEVILLA - </t>
    </r>
    <r>
      <rPr>
        <b/>
        <sz val="11"/>
        <color rgb="FF006600"/>
        <rFont val="Calibri"/>
        <family val="2"/>
        <scheme val="minor"/>
      </rPr>
      <t>919.02 Km.</t>
    </r>
  </si>
  <si>
    <r>
      <t xml:space="preserve">  ALICANTE   SEVILLA</t>
    </r>
    <r>
      <rPr>
        <b/>
        <sz val="11"/>
        <color rgb="FF006600"/>
        <rFont val="Calibri"/>
        <family val="2"/>
        <scheme val="minor"/>
      </rPr>
      <t xml:space="preserve"> -594.40 Km</t>
    </r>
    <r>
      <rPr>
        <b/>
        <sz val="11"/>
        <color rgb="FF365F91"/>
        <rFont val="Calibri"/>
        <family val="2"/>
        <scheme val="minor"/>
      </rPr>
      <t>.</t>
    </r>
  </si>
  <si>
    <r>
      <t xml:space="preserve">  ALMERÍA  SEVILLA-</t>
    </r>
    <r>
      <rPr>
        <b/>
        <sz val="11"/>
        <color rgb="FF006600"/>
        <rFont val="Calibri"/>
        <family val="2"/>
        <scheme val="minor"/>
      </rPr>
      <t xml:space="preserve"> 400.84 Km.</t>
    </r>
  </si>
  <si>
    <r>
      <t xml:space="preserve">  ÁVILA  SEVILLA-</t>
    </r>
    <r>
      <rPr>
        <b/>
        <sz val="11"/>
        <color rgb="FF006600"/>
        <rFont val="Calibri"/>
        <family val="2"/>
        <scheme val="minor"/>
      </rPr>
      <t xml:space="preserve"> 483.62 Km.</t>
    </r>
  </si>
  <si>
    <r>
      <t xml:space="preserve">  BADAJOZ - SEVILLA- </t>
    </r>
    <r>
      <rPr>
        <b/>
        <sz val="11"/>
        <color rgb="FF006600"/>
        <rFont val="Calibri"/>
        <family val="2"/>
        <scheme val="minor"/>
      </rPr>
      <t>211.90 Km.</t>
    </r>
  </si>
  <si>
    <r>
      <t xml:space="preserve">  BARCELONA SEVILLA</t>
    </r>
    <r>
      <rPr>
        <b/>
        <sz val="11"/>
        <color rgb="FF006600"/>
        <rFont val="Calibri"/>
        <family val="2"/>
        <scheme val="minor"/>
      </rPr>
      <t xml:space="preserve"> -992.33 Km.</t>
    </r>
  </si>
  <si>
    <r>
      <t xml:space="preserve">  BILBAO  SEVILLA -</t>
    </r>
    <r>
      <rPr>
        <b/>
        <sz val="11"/>
        <color rgb="FF006600"/>
        <rFont val="Calibri"/>
        <family val="2"/>
        <scheme val="minor"/>
      </rPr>
      <t>857.55 Km.</t>
    </r>
  </si>
  <si>
    <r>
      <t xml:space="preserve">  BURGOS  SEVILLA </t>
    </r>
    <r>
      <rPr>
        <b/>
        <sz val="11"/>
        <color rgb="FF006600"/>
        <rFont val="Calibri"/>
        <family val="2"/>
        <scheme val="minor"/>
      </rPr>
      <t>-703.88 Km.</t>
    </r>
  </si>
  <si>
    <r>
      <t xml:space="preserve">  CÁCERES - SEVILLA- </t>
    </r>
    <r>
      <rPr>
        <b/>
        <sz val="11"/>
        <color rgb="FF006600"/>
        <rFont val="Calibri"/>
        <family val="2"/>
        <scheme val="minor"/>
      </rPr>
      <t>263.17 Km.</t>
    </r>
  </si>
  <si>
    <r>
      <t xml:space="preserve">  CÁDIZ - SEVILLA- </t>
    </r>
    <r>
      <rPr>
        <b/>
        <sz val="11"/>
        <color rgb="FF006600"/>
        <rFont val="Calibri"/>
        <family val="2"/>
        <scheme val="minor"/>
      </rPr>
      <t>121.36 Km.</t>
    </r>
  </si>
  <si>
    <r>
      <t xml:space="preserve"> CASTELLÓN DE LA PLANA  - SEVILLA- </t>
    </r>
    <r>
      <rPr>
        <b/>
        <sz val="11"/>
        <color rgb="FF006600"/>
        <rFont val="Calibri"/>
        <family val="2"/>
        <scheme val="minor"/>
      </rPr>
      <t xml:space="preserve"> 683.25 Km</t>
    </r>
  </si>
  <si>
    <r>
      <t xml:space="preserve"> CIUDAD REAL - SEVILLA - </t>
    </r>
    <r>
      <rPr>
        <b/>
        <sz val="11"/>
        <color rgb="FF006600"/>
        <rFont val="Calibri"/>
        <family val="2"/>
        <scheme val="minor"/>
      </rPr>
      <t>321.35 Km.</t>
    </r>
  </si>
  <si>
    <r>
      <t xml:space="preserve">  CÓRDOBA  SEVILLA- </t>
    </r>
    <r>
      <rPr>
        <b/>
        <sz val="11"/>
        <color rgb="FF006600"/>
        <rFont val="Calibri"/>
        <family val="2"/>
        <scheme val="minor"/>
      </rPr>
      <t>141.24 Km.</t>
    </r>
  </si>
  <si>
    <r>
      <t xml:space="preserve">  CORUÑA, A  SEVILLA- </t>
    </r>
    <r>
      <rPr>
        <b/>
        <sz val="11"/>
        <color rgb="FF006600"/>
        <rFont val="Calibri"/>
        <family val="2"/>
        <scheme val="minor"/>
      </rPr>
      <t>919.02 Km.</t>
    </r>
  </si>
  <si>
    <r>
      <t xml:space="preserve">  CUENCA - SEVILLA- </t>
    </r>
    <r>
      <rPr>
        <b/>
        <sz val="11"/>
        <color rgb="FF006600"/>
        <rFont val="Calibri"/>
        <family val="2"/>
        <scheme val="minor"/>
      </rPr>
      <t>558.98 Km.</t>
    </r>
  </si>
  <si>
    <r>
      <t xml:space="preserve">  GIRONA - SEVILLA -</t>
    </r>
    <r>
      <rPr>
        <b/>
        <sz val="11"/>
        <color rgb="FF006600"/>
        <rFont val="Calibri"/>
        <family val="2"/>
        <scheme val="minor"/>
      </rPr>
      <t xml:space="preserve"> 1077.26 Km.</t>
    </r>
  </si>
  <si>
    <r>
      <t xml:space="preserve">  GUADALAJARA  - SEVILLA - </t>
    </r>
    <r>
      <rPr>
        <b/>
        <sz val="11"/>
        <color rgb="FF006600"/>
        <rFont val="Calibri"/>
        <family val="2"/>
        <scheme val="minor"/>
      </rPr>
      <t>577.59 Km.</t>
    </r>
  </si>
  <si>
    <r>
      <t xml:space="preserve"> JAÉN - SEVILLA - </t>
    </r>
    <r>
      <rPr>
        <b/>
        <sz val="11"/>
        <color rgb="FF006600"/>
        <rFont val="Calibri"/>
        <family val="2"/>
        <scheme val="minor"/>
      </rPr>
      <t>248.83 Km.</t>
    </r>
  </si>
  <si>
    <r>
      <t xml:space="preserve">  HUELVA - SEVILLA - </t>
    </r>
    <r>
      <rPr>
        <b/>
        <sz val="11"/>
        <color rgb="FF006600"/>
        <rFont val="Calibri"/>
        <family val="2"/>
        <scheme val="minor"/>
      </rPr>
      <t xml:space="preserve"> 93.94 Km.</t>
    </r>
  </si>
  <si>
    <r>
      <t xml:space="preserve">  HUESCA -  SEVILLA - </t>
    </r>
    <r>
      <rPr>
        <b/>
        <sz val="11"/>
        <color rgb="FF006600"/>
        <rFont val="Calibri"/>
        <family val="2"/>
        <scheme val="minor"/>
      </rPr>
      <t>900.12 Km.</t>
    </r>
  </si>
  <si>
    <r>
      <t xml:space="preserve">  LEÓN -  SEVILLA - </t>
    </r>
    <r>
      <rPr>
        <b/>
        <sz val="11"/>
        <color rgb="FF006600"/>
        <rFont val="Calibri"/>
        <family val="2"/>
        <scheme val="minor"/>
      </rPr>
      <t>660.86 Km.</t>
    </r>
  </si>
  <si>
    <r>
      <t xml:space="preserve">  LOGROÑO - SEVILLA -</t>
    </r>
    <r>
      <rPr>
        <b/>
        <sz val="11"/>
        <color rgb="FF006600"/>
        <rFont val="Calibri"/>
        <family val="2"/>
        <scheme val="minor"/>
      </rPr>
      <t xml:space="preserve"> 817.27 Km.</t>
    </r>
  </si>
  <si>
    <r>
      <t xml:space="preserve">  MADRID - SEVILLA - </t>
    </r>
    <r>
      <rPr>
        <b/>
        <sz val="11"/>
        <color rgb="FF006600"/>
        <rFont val="Calibri"/>
        <family val="2"/>
        <scheme val="minor"/>
      </rPr>
      <t>526.50 Km.</t>
    </r>
  </si>
  <si>
    <r>
      <t xml:space="preserve">  MÁLAGA - SEVILLA - </t>
    </r>
    <r>
      <rPr>
        <b/>
        <sz val="11"/>
        <color rgb="FF006600"/>
        <rFont val="Calibri"/>
        <family val="2"/>
        <scheme val="minor"/>
      </rPr>
      <t>201.75 Km.</t>
    </r>
  </si>
  <si>
    <r>
      <t xml:space="preserve">  MURCIA -  SEVILLA -</t>
    </r>
    <r>
      <rPr>
        <b/>
        <sz val="11"/>
        <color rgb="FF006600"/>
        <rFont val="Calibri"/>
        <family val="2"/>
        <scheme val="minor"/>
      </rPr>
      <t xml:space="preserve"> 521.86 Km.</t>
    </r>
  </si>
  <si>
    <r>
      <t xml:space="preserve">  OURENSE - SEVILLA - </t>
    </r>
    <r>
      <rPr>
        <b/>
        <sz val="11"/>
        <color rgb="FF006600"/>
        <rFont val="Calibri"/>
        <family val="2"/>
        <scheme val="minor"/>
      </rPr>
      <t>787.20 Km</t>
    </r>
    <r>
      <rPr>
        <b/>
        <sz val="11"/>
        <color rgb="FF365F91"/>
        <rFont val="Calibri"/>
        <family val="2"/>
        <scheme val="minor"/>
      </rPr>
      <t>.</t>
    </r>
  </si>
  <si>
    <r>
      <t xml:space="preserve">  OVIEDO - SEVILLA -</t>
    </r>
    <r>
      <rPr>
        <b/>
        <sz val="11"/>
        <color rgb="FF006600"/>
        <rFont val="Calibri"/>
        <family val="2"/>
        <scheme val="minor"/>
      </rPr>
      <t xml:space="preserve"> 771.31 Km.</t>
    </r>
  </si>
  <si>
    <r>
      <t xml:space="preserve">  PALENCIA - SEVILLA -</t>
    </r>
    <r>
      <rPr>
        <b/>
        <sz val="11"/>
        <color rgb="FF006600"/>
        <rFont val="Calibri"/>
        <family val="2"/>
        <scheme val="minor"/>
      </rPr>
      <t xml:space="preserve"> 627.18 Km.</t>
    </r>
  </si>
  <si>
    <r>
      <t xml:space="preserve">  PAMPLONA - SEVILLA -</t>
    </r>
    <r>
      <rPr>
        <b/>
        <sz val="11"/>
        <color rgb="FF006600"/>
        <rFont val="Calibri"/>
        <family val="2"/>
        <scheme val="minor"/>
      </rPr>
      <t xml:space="preserve"> 910.06 Km.</t>
    </r>
  </si>
  <si>
    <r>
      <t xml:space="preserve">  PONTEVEDRA - SEVILLA </t>
    </r>
    <r>
      <rPr>
        <b/>
        <sz val="11"/>
        <color rgb="FF006600"/>
        <rFont val="Calibri"/>
        <family val="2"/>
        <scheme val="minor"/>
      </rPr>
      <t>- 876.39 Km.</t>
    </r>
  </si>
  <si>
    <r>
      <t xml:space="preserve">  SAN SEBASTIÁN - SEVILLA - </t>
    </r>
    <r>
      <rPr>
        <b/>
        <sz val="11"/>
        <color rgb="FF006600"/>
        <rFont val="Calibri"/>
        <family val="2"/>
        <scheme val="minor"/>
      </rPr>
      <t>914.15 Km.</t>
    </r>
  </si>
  <si>
    <r>
      <t xml:space="preserve">  SALAMANCA - SEVILLA - </t>
    </r>
    <r>
      <rPr>
        <b/>
        <sz val="11"/>
        <color rgb="FF006600"/>
        <rFont val="Calibri"/>
        <family val="2"/>
        <scheme val="minor"/>
      </rPr>
      <t>460.35 Km.</t>
    </r>
  </si>
  <si>
    <r>
      <t xml:space="preserve">  SANTANDER - SEVILLA -</t>
    </r>
    <r>
      <rPr>
        <b/>
        <sz val="11"/>
        <color rgb="FF006600"/>
        <rFont val="Calibri"/>
        <family val="2"/>
        <scheme val="minor"/>
      </rPr>
      <t xml:space="preserve"> 825.17 Km.</t>
    </r>
  </si>
  <si>
    <r>
      <t xml:space="preserve">  SANTIAGO DE COMPOSTELA - SEVILLA -</t>
    </r>
    <r>
      <rPr>
        <b/>
        <sz val="11"/>
        <color rgb="FF006600"/>
        <rFont val="Calibri"/>
        <family val="2"/>
        <scheme val="minor"/>
      </rPr>
      <t xml:space="preserve"> 888.42 Km.</t>
    </r>
  </si>
  <si>
    <r>
      <t xml:space="preserve">  SEGOVIA - SEVILLA - </t>
    </r>
    <r>
      <rPr>
        <b/>
        <sz val="11"/>
        <color rgb="FF006600"/>
        <rFont val="Calibri"/>
        <family val="2"/>
        <scheme val="minor"/>
      </rPr>
      <t>545.20 Km.</t>
    </r>
  </si>
  <si>
    <r>
      <t xml:space="preserve"> SORIA - SEVILLA -</t>
    </r>
    <r>
      <rPr>
        <b/>
        <sz val="11"/>
        <color rgb="FF006600"/>
        <rFont val="Calibri"/>
        <family val="2"/>
        <scheme val="minor"/>
      </rPr>
      <t xml:space="preserve"> 746.97 Km.</t>
    </r>
  </si>
  <si>
    <r>
      <t xml:space="preserve"> TARRAGONA - SEVILLA -</t>
    </r>
    <r>
      <rPr>
        <b/>
        <sz val="11"/>
        <color rgb="FF006600"/>
        <rFont val="Calibri"/>
        <family val="2"/>
        <scheme val="minor"/>
      </rPr>
      <t xml:space="preserve"> 892.40 Km.</t>
    </r>
  </si>
  <si>
    <r>
      <t xml:space="preserve"> TERUEL - SEVILLA - </t>
    </r>
    <r>
      <rPr>
        <b/>
        <sz val="11"/>
        <color rgb="FF006600"/>
        <rFont val="Calibri"/>
        <family val="2"/>
        <scheme val="minor"/>
      </rPr>
      <t>680.18 Km.</t>
    </r>
  </si>
  <si>
    <r>
      <t xml:space="preserve"> TOLEDO - SEVILLA -</t>
    </r>
    <r>
      <rPr>
        <b/>
        <sz val="11"/>
        <color rgb="FF006600"/>
        <rFont val="Calibri"/>
        <family val="2"/>
        <scheme val="minor"/>
      </rPr>
      <t xml:space="preserve"> 473.81 Km.</t>
    </r>
  </si>
  <si>
    <r>
      <t xml:space="preserve"> VALENCIA - SEVILLA -</t>
    </r>
    <r>
      <rPr>
        <b/>
        <sz val="11"/>
        <color rgb="FF006600"/>
        <rFont val="Calibri"/>
        <family val="2"/>
        <scheme val="minor"/>
      </rPr>
      <t xml:space="preserve"> 646.92 Km.</t>
    </r>
  </si>
  <si>
    <r>
      <t xml:space="preserve"> VALLADOLID - SEVILLA - </t>
    </r>
    <r>
      <rPr>
        <b/>
        <sz val="11"/>
        <color rgb="FF006600"/>
        <rFont val="Calibri"/>
        <family val="2"/>
        <scheme val="minor"/>
      </rPr>
      <t>579.87 Km.</t>
    </r>
  </si>
  <si>
    <r>
      <t xml:space="preserve">  VITORIA-GASTEIZ - SEVILLA - </t>
    </r>
    <r>
      <rPr>
        <b/>
        <sz val="11"/>
        <color rgb="FF006600"/>
        <rFont val="Calibri"/>
        <family val="2"/>
        <scheme val="minor"/>
      </rPr>
      <t>815.05 Km.</t>
    </r>
  </si>
  <si>
    <r>
      <t xml:space="preserve"> ZAMORA - SEVILLA -</t>
    </r>
    <r>
      <rPr>
        <b/>
        <sz val="11"/>
        <color rgb="FF006600"/>
        <rFont val="Calibri"/>
        <family val="2"/>
        <scheme val="minor"/>
      </rPr>
      <t xml:space="preserve"> 526.54 Km</t>
    </r>
    <r>
      <rPr>
        <b/>
        <sz val="11"/>
        <color rgb="FF365F91"/>
        <rFont val="Calibri"/>
        <family val="2"/>
        <scheme val="minor"/>
      </rPr>
      <t>.</t>
    </r>
  </si>
  <si>
    <r>
      <t xml:space="preserve"> ZARAGOZA - SEVILLA -</t>
    </r>
    <r>
      <rPr>
        <b/>
        <sz val="11"/>
        <color rgb="FF006600"/>
        <rFont val="Calibri"/>
        <family val="2"/>
        <scheme val="minor"/>
      </rPr>
      <t xml:space="preserve"> 831.24 Km.</t>
    </r>
  </si>
  <si>
    <t>SEVILLA a</t>
  </si>
  <si>
    <r>
      <t xml:space="preserve"> GRANADA - SEVILLA - </t>
    </r>
    <r>
      <rPr>
        <b/>
        <sz val="11"/>
        <color rgb="FF006600"/>
        <rFont val="Calibri"/>
        <family val="2"/>
        <scheme val="minor"/>
      </rPr>
      <t>246.37 Km</t>
    </r>
  </si>
  <si>
    <r>
      <t xml:space="preserve">  LLEIDA - SEVILLA -</t>
    </r>
    <r>
      <rPr>
        <b/>
        <sz val="11"/>
        <color rgb="FF006600"/>
        <rFont val="Calibri"/>
        <family val="2"/>
        <scheme val="minor"/>
      </rPr>
      <t xml:space="preserve"> 976.20 Km.</t>
    </r>
  </si>
  <si>
    <r>
      <t xml:space="preserve">  LUGO - SEVILLA -</t>
    </r>
    <r>
      <rPr>
        <b/>
        <sz val="11"/>
        <color rgb="FF006600"/>
        <rFont val="Calibri"/>
        <family val="2"/>
        <scheme val="minor"/>
      </rPr>
      <t xml:space="preserve"> 825.30 Km.</t>
    </r>
  </si>
  <si>
    <t>R. DECRETO DEL MINISTERIO</t>
  </si>
  <si>
    <t>(Exigible en proyectos del ministerio, convocatoria 2016 en adelante) Véase p.32 párrafo 10</t>
  </si>
  <si>
    <t>y otras convocatorias</t>
  </si>
  <si>
    <t xml:space="preserve">(Consultar) </t>
  </si>
  <si>
    <t>(Consultar)</t>
  </si>
  <si>
    <t>Hoja de liquidación de dietas (Ministerio/Junta)</t>
  </si>
  <si>
    <t>(2º destino) Desde</t>
  </si>
  <si>
    <t>(2º destino) Hasta</t>
  </si>
  <si>
    <t>(3º destino) Desde</t>
  </si>
  <si>
    <t>(3º destino) Hasta</t>
  </si>
  <si>
    <t>(1º destino) Desde</t>
  </si>
  <si>
    <t>(1º destino) Hasta</t>
  </si>
  <si>
    <t>Locomoción</t>
  </si>
  <si>
    <t>TOTAL</t>
  </si>
  <si>
    <t>Total Tren</t>
  </si>
  <si>
    <t>DESCUENTO</t>
  </si>
  <si>
    <t>4) Certificado de la actividad realizada (original o fotocopia compulsada). Si la factura o documento justificativo de los cursos no indica</t>
  </si>
  <si>
    <r>
      <t xml:space="preserve"> las horas del curso, deberá justificar documentalmente mediante una declaración del </t>
    </r>
    <r>
      <rPr>
        <b/>
        <u/>
        <sz val="10"/>
        <rFont val="Arial"/>
        <family val="2"/>
      </rPr>
      <t>organizador</t>
    </r>
    <r>
      <rPr>
        <b/>
        <sz val="10"/>
        <rFont val="Arial"/>
        <family val="2"/>
      </rPr>
      <t>, la duración del mismo</t>
    </r>
  </si>
  <si>
    <t>3) Si la factura o documento justificativo de los cursos no indica las horas del curso, deberá justificar documentalmente mediante una declaración del organizador, la duración del mismo</t>
  </si>
  <si>
    <t>Haga Clic para el cálculo de Globalia</t>
  </si>
  <si>
    <t>CÁLCULO DE ALOJAMIENTO Y LOCOMOCIÓN DE GLOBALIA</t>
  </si>
  <si>
    <t>TABLA DE CÁLCULO DE ALOJAMIENTO Y LOCOMOCIÓN EN GLOBALIA</t>
  </si>
  <si>
    <t>Volver a "Varios Países Extranjeros"</t>
  </si>
  <si>
    <t>Volver a "Nacional y un País Extranjero"</t>
  </si>
  <si>
    <t>Elegir Decreto  ▼</t>
  </si>
  <si>
    <t xml:space="preserve">Alojamiento </t>
  </si>
  <si>
    <t>Sevilla</t>
  </si>
  <si>
    <t>Invitado</t>
  </si>
  <si>
    <t>462/2002 Ministerio</t>
  </si>
  <si>
    <t>LIQUIDACIÓN DE GASTOS PARA CONFERENCIANTES</t>
  </si>
  <si>
    <t>54/1989 Junta</t>
  </si>
  <si>
    <t>Elegir ▼</t>
  </si>
  <si>
    <t>Terceros</t>
  </si>
  <si>
    <t>IP / otro profesor</t>
  </si>
  <si>
    <t>D /Dª</t>
  </si>
  <si>
    <t>Responsable del Proyecto</t>
  </si>
  <si>
    <t xml:space="preserve">Orgánica y Proyecto </t>
  </si>
  <si>
    <t>DNI/Pasaporte</t>
  </si>
  <si>
    <t>Domicilio</t>
  </si>
  <si>
    <t>A la celebración de:</t>
  </si>
  <si>
    <t>Nº Km</t>
  </si>
  <si>
    <t>Taxi</t>
  </si>
  <si>
    <t>Vehículo propio</t>
  </si>
  <si>
    <t>Totales</t>
  </si>
  <si>
    <t>gastos del conferenciante</t>
  </si>
  <si>
    <t>TERCEROS</t>
  </si>
  <si>
    <t>IP/ Otro Prof</t>
  </si>
  <si>
    <t>TOTALES</t>
  </si>
  <si>
    <t>(abonar a): I.P / Otro Profesor</t>
  </si>
  <si>
    <t>0,19 €/Km</t>
  </si>
  <si>
    <t>(abonar a): Terceros</t>
  </si>
  <si>
    <t>Total locomoción:</t>
  </si>
  <si>
    <t>conferencia</t>
  </si>
  <si>
    <t>IRPF</t>
  </si>
  <si>
    <t>Decreto</t>
  </si>
  <si>
    <t>Nº de noches</t>
  </si>
  <si>
    <t>€/ noches</t>
  </si>
  <si>
    <t>Importe de Fac.</t>
  </si>
  <si>
    <t>factura</t>
  </si>
  <si>
    <t>total a abonar</t>
  </si>
  <si>
    <t>Liquido</t>
  </si>
  <si>
    <t>Alojamiento (abonar a):</t>
  </si>
  <si>
    <t>Nº de días</t>
  </si>
  <si>
    <t>€ / días</t>
  </si>
  <si>
    <t>Manutención (abonar a):</t>
  </si>
  <si>
    <t>Conferencia (abonar a):</t>
  </si>
  <si>
    <t>IRPF (que aplica)</t>
  </si>
  <si>
    <t>EL GASTO TOTAL DE ESTE VIAJE ASCIENDE A:</t>
  </si>
  <si>
    <t>IBAN Español</t>
  </si>
  <si>
    <t>IBAN zona SEPA</t>
  </si>
  <si>
    <t>Otro formato (2)</t>
  </si>
  <si>
    <t>Solicitud de transferencia al exterior</t>
  </si>
  <si>
    <t>Observaciones:</t>
  </si>
  <si>
    <t>Sevilla a</t>
  </si>
  <si>
    <t xml:space="preserve">CONFORME </t>
  </si>
  <si>
    <t>Fd.:</t>
  </si>
  <si>
    <t>El interesado (3)</t>
  </si>
  <si>
    <t>El responsable del gastos</t>
  </si>
  <si>
    <t xml:space="preserve">NOTA: Si es personal sujeto a la Ley de Incompatibilidades, deben comunicar al Servicio de Personal correspondiente el número de horas de conferencias o cursos que van a impartir. </t>
  </si>
  <si>
    <t>anexo de compatibilidad</t>
  </si>
  <si>
    <t xml:space="preserve">VIAJE PARA TERRITORIO NACIONAL  REALIZADO EN EL MISMO DÍA </t>
  </si>
  <si>
    <t>desde</t>
  </si>
  <si>
    <t>hasta</t>
  </si>
  <si>
    <t>Manutención en territorio nacional para viaje de varios  días</t>
  </si>
  <si>
    <t>DESDE</t>
  </si>
  <si>
    <t>HASTA</t>
  </si>
  <si>
    <t>Día</t>
  </si>
  <si>
    <t>Inicio del viaje</t>
  </si>
  <si>
    <t>Fin del viaje</t>
  </si>
  <si>
    <t>salida</t>
  </si>
  <si>
    <t>regreso</t>
  </si>
  <si>
    <t>Manutención en territorio extranjero</t>
  </si>
  <si>
    <t>Desde</t>
  </si>
  <si>
    <t>Hasta</t>
  </si>
  <si>
    <t>FECHA</t>
  </si>
  <si>
    <t>HORA</t>
  </si>
  <si>
    <t>Decreto máx.:</t>
  </si>
  <si>
    <t>Según Decreto</t>
  </si>
  <si>
    <t>Según Factura</t>
  </si>
  <si>
    <t>Decreto: Completa</t>
  </si>
  <si>
    <t>Decreto: Media</t>
  </si>
  <si>
    <t>DATOS BANCARIOS DE:</t>
  </si>
  <si>
    <t>Volver a "Conferenciantes"</t>
  </si>
  <si>
    <t>total por Dec</t>
  </si>
  <si>
    <t>total Manut</t>
  </si>
  <si>
    <r>
      <t xml:space="preserve">Con el objeto de evitar incidencias y demora en el pago en su liquidación de dietas, la siguiente tabla calcula los importes del alojamiento y la locomoción que deben figurar en el apartado </t>
    </r>
    <r>
      <rPr>
        <b/>
        <sz val="10"/>
        <rFont val="Arial"/>
        <family val="2"/>
      </rPr>
      <t xml:space="preserve">Pagos a Terceros </t>
    </r>
    <r>
      <rPr>
        <sz val="10"/>
        <rFont val="Arial"/>
        <family val="2"/>
      </rPr>
      <t>de la liquidación.</t>
    </r>
  </si>
  <si>
    <t>¿CÓMO HACER EL CÁLCULO?</t>
  </si>
  <si>
    <t>Haga clic para ver el ejemplo</t>
  </si>
  <si>
    <t xml:space="preserve">IVA </t>
  </si>
  <si>
    <t xml:space="preserve">TOTAL </t>
  </si>
  <si>
    <t xml:space="preserve">Avión </t>
  </si>
  <si>
    <t>Vehículo Alqu</t>
  </si>
  <si>
    <t xml:space="preserve">Importe Bruto </t>
  </si>
  <si>
    <t xml:space="preserve">Total alojamiento </t>
  </si>
  <si>
    <t>Total Vehículo</t>
  </si>
  <si>
    <t>Total Bus</t>
  </si>
  <si>
    <t xml:space="preserve">Total Avión </t>
  </si>
  <si>
    <t>IMPORTE TOTAL DE LA TABLA</t>
  </si>
  <si>
    <t>Haga clic para ver la factura de GLOBALIA de este ejemplo</t>
  </si>
  <si>
    <t>Otro ejemplo de factura de GLOBALIA</t>
  </si>
  <si>
    <r>
      <t>● En algunas facturas hay una línea llamada "</t>
    </r>
    <r>
      <rPr>
        <b/>
        <sz val="10"/>
        <rFont val="Arial"/>
        <family val="2"/>
      </rPr>
      <t>Importe Descuentos (D)</t>
    </r>
    <r>
      <rPr>
        <sz val="10"/>
        <rFont val="Arial"/>
        <family val="2"/>
      </rPr>
      <t>" que está situada al final de</t>
    </r>
    <r>
      <rPr>
        <b/>
        <i/>
        <sz val="10"/>
        <rFont val="Arial"/>
        <family val="2"/>
      </rPr>
      <t xml:space="preserve"> Totales.</t>
    </r>
    <r>
      <rPr>
        <b/>
        <u/>
        <sz val="10"/>
        <rFont val="Arial"/>
        <family val="2"/>
      </rPr>
      <t>Ese importe se descuenta del alojamiento.</t>
    </r>
  </si>
  <si>
    <r>
      <rPr>
        <sz val="10"/>
        <rFont val="Arial"/>
        <family val="2"/>
      </rPr>
      <t>●</t>
    </r>
    <r>
      <rPr>
        <sz val="8"/>
        <rFont val="Arial"/>
        <family val="2"/>
      </rPr>
      <t xml:space="preserve"> </t>
    </r>
    <r>
      <rPr>
        <sz val="10"/>
        <rFont val="Arial"/>
        <family val="2"/>
      </rPr>
      <t>En la factura hay una columna llamada</t>
    </r>
    <r>
      <rPr>
        <b/>
        <sz val="10"/>
        <rFont val="Arial"/>
        <family val="2"/>
      </rPr>
      <t xml:space="preserve"> RECARGO</t>
    </r>
    <r>
      <rPr>
        <sz val="10"/>
        <rFont val="Arial"/>
        <family val="2"/>
      </rPr>
      <t xml:space="preserve">. </t>
    </r>
    <r>
      <rPr>
        <u/>
        <sz val="10"/>
        <rFont val="Arial"/>
        <family val="2"/>
      </rPr>
      <t>Al importe que aparece en esa columna</t>
    </r>
    <r>
      <rPr>
        <b/>
        <u/>
        <sz val="10"/>
        <color rgb="FF990000"/>
        <rFont val="Arial"/>
        <family val="2"/>
      </rPr>
      <t xml:space="preserve"> NO</t>
    </r>
    <r>
      <rPr>
        <u/>
        <sz val="10"/>
        <rFont val="Arial"/>
        <family val="2"/>
      </rPr>
      <t xml:space="preserve"> debe calcularle el IVA.</t>
    </r>
  </si>
  <si>
    <r>
      <t xml:space="preserve">Para ello debe conocer los siguientes conceptos de la </t>
    </r>
    <r>
      <rPr>
        <b/>
        <sz val="10"/>
        <rFont val="Arial"/>
        <family val="2"/>
      </rPr>
      <t>FACTURA RESUMEN DE GLOBALIA.</t>
    </r>
  </si>
  <si>
    <r>
      <rPr>
        <b/>
        <sz val="10"/>
        <color rgb="FF990000"/>
        <rFont val="Arial"/>
        <family val="2"/>
      </rPr>
      <t>3)</t>
    </r>
    <r>
      <rPr>
        <sz val="10"/>
        <rFont val="Arial"/>
        <family val="2"/>
      </rPr>
      <t xml:space="preserve"> Cuando termine de rellenar la tabla el importe </t>
    </r>
    <r>
      <rPr>
        <b/>
        <sz val="10"/>
        <color rgb="FF000080"/>
        <rFont val="Arial"/>
        <family val="2"/>
      </rPr>
      <t>TOTAL DE LA TABLA</t>
    </r>
    <r>
      <rPr>
        <sz val="10"/>
        <rFont val="Arial"/>
        <family val="2"/>
      </rPr>
      <t xml:space="preserve"> debe coincidir con el </t>
    </r>
    <r>
      <rPr>
        <b/>
        <sz val="10"/>
        <color rgb="FF006600"/>
        <rFont val="Arial"/>
        <family val="2"/>
      </rPr>
      <t>TOTAL A EJECUTAR DE LA FACTURA DE GLOBALIA.</t>
    </r>
    <r>
      <rPr>
        <sz val="10"/>
        <color rgb="FF006600"/>
        <rFont val="Arial"/>
        <family val="2"/>
      </rPr>
      <t xml:space="preserve"> </t>
    </r>
    <r>
      <rPr>
        <b/>
        <i/>
        <u/>
        <sz val="10"/>
        <rFont val="Arial"/>
        <family val="2"/>
      </rPr>
      <t>Si varía en un céntimo no afecta.</t>
    </r>
  </si>
  <si>
    <r>
      <rPr>
        <b/>
        <sz val="10"/>
        <color rgb="FF990000"/>
        <rFont val="Arial"/>
        <family val="2"/>
      </rPr>
      <t>2)</t>
    </r>
    <r>
      <rPr>
        <sz val="10"/>
        <rFont val="Arial"/>
        <family val="2"/>
      </rPr>
      <t xml:space="preserve"> Rellene la celdas de </t>
    </r>
    <r>
      <rPr>
        <b/>
        <u/>
        <sz val="10"/>
        <rFont val="Arial"/>
        <family val="2"/>
      </rPr>
      <t>color gris</t>
    </r>
    <r>
      <rPr>
        <sz val="10"/>
        <rFont val="Arial"/>
        <family val="2"/>
      </rPr>
      <t xml:space="preserve"> de la </t>
    </r>
    <r>
      <rPr>
        <b/>
        <sz val="10"/>
        <color rgb="FF000099"/>
        <rFont val="Arial"/>
        <family val="2"/>
      </rPr>
      <t>Tabla</t>
    </r>
    <r>
      <rPr>
        <sz val="10"/>
        <rFont val="Arial"/>
        <family val="2"/>
      </rPr>
      <t xml:space="preserve"> como en el ejemplo.</t>
    </r>
  </si>
  <si>
    <r>
      <rPr>
        <b/>
        <sz val="10"/>
        <color rgb="FF990000"/>
        <rFont val="Arial"/>
        <family val="2"/>
      </rPr>
      <t>4)</t>
    </r>
    <r>
      <rPr>
        <sz val="10"/>
        <rFont val="Arial"/>
        <family val="2"/>
      </rPr>
      <t xml:space="preserve"> Los importes que debe poner en la liquidación de dietas son los de color </t>
    </r>
    <r>
      <rPr>
        <b/>
        <sz val="10"/>
        <color rgb="FF990000"/>
        <rFont val="Arial"/>
        <family val="2"/>
      </rPr>
      <t>rojo</t>
    </r>
    <r>
      <rPr>
        <sz val="10"/>
        <color rgb="FF990000"/>
        <rFont val="Arial"/>
        <family val="2"/>
      </rPr>
      <t>.</t>
    </r>
  </si>
  <si>
    <t>justifique su anticipo</t>
  </si>
  <si>
    <t>←</t>
  </si>
  <si>
    <r>
      <rPr>
        <b/>
        <sz val="10"/>
        <color rgb="FF990000"/>
        <rFont val="Arial"/>
        <family val="2"/>
      </rPr>
      <t>1)</t>
    </r>
    <r>
      <rPr>
        <sz val="10"/>
        <rFont val="Arial"/>
        <family val="2"/>
      </rPr>
      <t xml:space="preserve"> Inserte en la celda de </t>
    </r>
    <r>
      <rPr>
        <b/>
        <sz val="10"/>
        <color rgb="FF006600"/>
        <rFont val="Arial"/>
        <family val="2"/>
      </rPr>
      <t>color verde</t>
    </r>
    <r>
      <rPr>
        <sz val="10"/>
        <rFont val="Arial"/>
        <family val="2"/>
      </rPr>
      <t xml:space="preserve"> el </t>
    </r>
    <r>
      <rPr>
        <b/>
        <sz val="10"/>
        <color rgb="FF006600"/>
        <rFont val="Arial"/>
        <family val="2"/>
      </rPr>
      <t>Total  a Ejecutar</t>
    </r>
    <r>
      <rPr>
        <sz val="10"/>
        <rFont val="Arial"/>
        <family val="2"/>
      </rPr>
      <t xml:space="preserve"> de la factura de Globalia.</t>
    </r>
    <r>
      <rPr>
        <b/>
        <sz val="12"/>
        <color rgb="FFC00000"/>
        <rFont val="Webdings"/>
        <family val="1"/>
        <charset val="2"/>
      </rPr>
      <t>4</t>
    </r>
  </si>
  <si>
    <t>Gastos Inscripción o Documentación abonados por el investigador</t>
  </si>
  <si>
    <t>Gastos Inscripción o Documentación abonados por el Investigador</t>
  </si>
  <si>
    <t>b. Tarjetas de embarque originales. En caso de pérdida, certificado de la empresa de haber realizado el vuelo.</t>
  </si>
  <si>
    <t xml:space="preserve">a. Factura del billete de avión o billete electrónico. </t>
  </si>
  <si>
    <t>d. Taxis. Hasta un máximo de 4 trayectos en taxi, y debe figurar el itinerario y la fecha:</t>
  </si>
  <si>
    <t>MANUTENCION</t>
  </si>
  <si>
    <t>Completa</t>
  </si>
  <si>
    <t>Pago a Conferenciantes (Ministerio/Junta)</t>
  </si>
  <si>
    <t>Elegir abonar por Factura o Decreto▼</t>
  </si>
  <si>
    <t>Por Factura</t>
  </si>
  <si>
    <t>Por Decreto</t>
  </si>
  <si>
    <t>Abonar 50 euros de Taxi al conferenciante D. José Fernández</t>
  </si>
  <si>
    <t xml:space="preserve">Abonar 300 euros de Avión a la Agencia de Viajes </t>
  </si>
  <si>
    <t>Abonar 100 euros de alojamiento a la Agencia de Viajes Globalia</t>
  </si>
  <si>
    <t>Abonar a D. José Fernández la conferencia.</t>
  </si>
  <si>
    <t>Haga clic para el cálculo de Agencia de Viajes</t>
  </si>
  <si>
    <t>Haga clic para el cálculo de Agencia de Viaje</t>
  </si>
  <si>
    <t>EJEMPLO 1</t>
  </si>
  <si>
    <t>EJEMPLO 2</t>
  </si>
  <si>
    <t>Desglose y total de gastos que no se pueden imputar por el proyecto del Ministerio.</t>
  </si>
  <si>
    <t>Proyecto del Ministerio</t>
  </si>
  <si>
    <t>Haga Clic para el cálculo de Agencia Viajes</t>
  </si>
  <si>
    <t>Por el proyecto del Ministerio solo se puede imputar lo que establece el decreto de dietas en alojamiento y manutención; la diferencia, excepcionalmente y con autorización del Sr. Gerente de la US podrá solicitar la diferencia por otro proyecto/ayuda que admita el gasto</t>
  </si>
  <si>
    <t>Solo en aquellos proyectos que admita este gasto. Ver observaciones al final de la liquidación.</t>
  </si>
  <si>
    <t>Factura simplificada abonada por D. José Fernández y sin el CIF de la US. Supera el decreto de dietas en 79,59 €, debe solicitar autorización sl Sr. Gerente de la US.</t>
  </si>
  <si>
    <t>Excepcionalmente y con autorización del Sr. Gerente de la US podrá solicitar la diferencia por otro proyecto/ayuda que admita el gasto. Ver observaciones al final de la liquidación.</t>
  </si>
  <si>
    <t>Factura simplificada abonada por D. José Fernández y sin el CIF de la US. Excepcionalmente y con autorización del Sr. Gerente de la US podrá solicitar la diferencia por otro proyecto/ayuda que admita el gasto. Ver observaciones al final de la liquidación.</t>
  </si>
  <si>
    <t xml:space="preserve">(2) Especificar procedencia y vinculación con la Administración. Adjuntar </t>
  </si>
  <si>
    <t>(3) En caso de pago al extranjero adjunta el impreso</t>
  </si>
  <si>
    <t>(4) Adjuntar copia de N.I.F./ D.N.I./ Pasaporte y en el caso de extranjeros certificación fiscal del país donde tributa.</t>
  </si>
  <si>
    <t xml:space="preserve">(5) A partir del 12 de Julio del 2015, el I.R.P.F. es el 15% para españoles. </t>
  </si>
  <si>
    <t xml:space="preserve">(1) Si es la primera vez que se le abona un gasto tiene que aportar la siguiente documentación </t>
  </si>
  <si>
    <t>enlace</t>
  </si>
  <si>
    <t xml:space="preserve">y cumplimentar el siguiente impreso </t>
  </si>
  <si>
    <t>¿QUÉ GRAVAMEN HAY QUE APLICAR?</t>
  </si>
  <si>
    <t>Ley 26/2014 de 27 de noviembre</t>
  </si>
  <si>
    <t>19%/15%</t>
  </si>
  <si>
    <t>Españoles.A partir del 12 de Julio 2015 es el 15%</t>
  </si>
  <si>
    <t>Extranjeros sin establecimiento permanente</t>
  </si>
  <si>
    <r>
      <t xml:space="preserve">Tiene que cumplir las </t>
    </r>
    <r>
      <rPr>
        <b/>
        <u/>
        <sz val="10"/>
        <rFont val="Arial"/>
        <family val="2"/>
      </rPr>
      <t>tres</t>
    </r>
    <r>
      <rPr>
        <b/>
        <sz val="10"/>
        <rFont val="Arial"/>
        <family val="2"/>
      </rPr>
      <t xml:space="preserve"> condiciones:</t>
    </r>
  </si>
  <si>
    <t>1) Que exista acuerdo de doble imposición.</t>
  </si>
  <si>
    <t>2) Comprobar  en el acuerdo que está exento.</t>
  </si>
  <si>
    <t>3) Que aporte el certificado de residencia fiscal.</t>
  </si>
  <si>
    <t>Si NO aporta el Certificado Fiscal</t>
  </si>
  <si>
    <t>1) Ver acuerdo del Convenio de doble imposición.</t>
  </si>
  <si>
    <r>
      <t xml:space="preserve">2) Si no viene en el acuerdo, con carácter general el </t>
    </r>
    <r>
      <rPr>
        <b/>
        <sz val="10"/>
        <color indexed="10"/>
        <rFont val="Arial"/>
        <family val="2"/>
      </rPr>
      <t>24%</t>
    </r>
  </si>
  <si>
    <t>Resto de contribuyentes.</t>
  </si>
  <si>
    <t>CONVENIOS DE DOBLE IMPOSICIÓN FIRMADO POR ESPAÑA</t>
  </si>
  <si>
    <t>Nacionalidad:</t>
  </si>
  <si>
    <t>Invita al Sr. D.:(1)</t>
  </si>
  <si>
    <t>Trabajo realizado en España por un no residente</t>
  </si>
  <si>
    <t>FEDER US-2 (Excepto Madrid/Barcelona)</t>
  </si>
  <si>
    <t>FEDER US-2 (Madrid/Barcelona)</t>
  </si>
  <si>
    <t>Instrucción 3/2021, de 22 de diciembre de la Gerencia de la US (créditos propios de la US)</t>
  </si>
  <si>
    <t xml:space="preserve">Aportar Informe de conformidad </t>
  </si>
  <si>
    <t>Fecha inicio del viaje</t>
  </si>
  <si>
    <t>Fecha fin del viaje</t>
  </si>
  <si>
    <t>Lugar actividad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</si>
</sst>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164" formatCode="#,##0.00\ &quot;€&quot;"/>
    <numFmt numFmtId="165" formatCode="d\-m\-yy;@"/>
    <numFmt numFmtId="166" formatCode="dd/mm/yyyy\ "/>
    <numFmt numFmtId="167" formatCode="[$-C0A]d\ &quot;de&quot;\ mmmm\ &quot;de&quot;\ yyyy;@"/>
    <numFmt numFmtId="168" formatCode="h:mm;@"/>
    <numFmt numFmtId="169" formatCode="#,##0\ &quot;€&quot;"/>
    <numFmt numFmtId="170" formatCode="dd\-mm\-yy;@"/>
    <numFmt numFmtId="171" formatCode="#\ ?/2"/>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sz val="10"/>
      <color indexed="10"/>
      <name val="Arial"/>
      <family val="2"/>
    </font>
    <font>
      <sz val="10"/>
      <color indexed="10"/>
      <name val="Arial"/>
      <family val="2"/>
    </font>
    <font>
      <sz val="10"/>
      <name val="Arial"/>
      <family val="2"/>
    </font>
    <font>
      <sz val="9"/>
      <name val="Arial"/>
      <family val="2"/>
    </font>
    <font>
      <b/>
      <sz val="11"/>
      <name val="Arial"/>
      <family val="2"/>
    </font>
    <font>
      <b/>
      <sz val="9"/>
      <name val="Arial"/>
      <family val="2"/>
    </font>
    <font>
      <b/>
      <i/>
      <sz val="9"/>
      <color indexed="10"/>
      <name val="Arial"/>
      <family val="2"/>
    </font>
    <font>
      <sz val="9"/>
      <color indexed="10"/>
      <name val="Arial"/>
      <family val="2"/>
    </font>
    <font>
      <b/>
      <u/>
      <sz val="10"/>
      <name val="Arial"/>
      <family val="2"/>
    </font>
    <font>
      <u/>
      <sz val="9"/>
      <name val="Arial"/>
      <family val="2"/>
    </font>
    <font>
      <b/>
      <sz val="9"/>
      <color indexed="10"/>
      <name val="Arial"/>
      <family val="2"/>
    </font>
    <font>
      <u/>
      <sz val="10"/>
      <color indexed="12"/>
      <name val="Arial"/>
      <family val="2"/>
    </font>
    <font>
      <b/>
      <sz val="8"/>
      <name val="Arial"/>
      <family val="2"/>
    </font>
    <font>
      <sz val="8"/>
      <color indexed="81"/>
      <name val="Tahoma"/>
      <family val="2"/>
    </font>
    <font>
      <b/>
      <sz val="8"/>
      <color indexed="81"/>
      <name val="Tahoma"/>
      <family val="2"/>
    </font>
    <font>
      <sz val="10"/>
      <color indexed="12"/>
      <name val="Arial"/>
      <family val="2"/>
    </font>
    <font>
      <b/>
      <sz val="10"/>
      <name val="Arial"/>
      <family val="2"/>
    </font>
    <font>
      <b/>
      <u/>
      <sz val="9"/>
      <name val="Arial"/>
      <family val="2"/>
    </font>
    <font>
      <sz val="8"/>
      <name val="Arial"/>
      <family val="2"/>
    </font>
    <font>
      <b/>
      <sz val="10"/>
      <color indexed="10"/>
      <name val="Arial"/>
      <family val="2"/>
    </font>
    <font>
      <sz val="8"/>
      <color indexed="9"/>
      <name val="Arial"/>
      <family val="2"/>
    </font>
    <font>
      <sz val="10"/>
      <color indexed="9"/>
      <name val="Arial"/>
      <family val="2"/>
    </font>
    <font>
      <b/>
      <sz val="10"/>
      <color indexed="18"/>
      <name val="Arial"/>
      <family val="2"/>
    </font>
    <font>
      <b/>
      <sz val="11"/>
      <color indexed="10"/>
      <name val="Arial"/>
      <family val="2"/>
    </font>
    <font>
      <sz val="9"/>
      <color indexed="9"/>
      <name val="Arial"/>
      <family val="2"/>
    </font>
    <font>
      <b/>
      <sz val="10"/>
      <color indexed="9"/>
      <name val="Arial"/>
      <family val="2"/>
    </font>
    <font>
      <b/>
      <sz val="10"/>
      <color indexed="9"/>
      <name val="Arial"/>
      <family val="2"/>
    </font>
    <font>
      <b/>
      <sz val="9"/>
      <color indexed="9"/>
      <name val="Arial"/>
      <family val="2"/>
    </font>
    <font>
      <sz val="11"/>
      <name val="Arial"/>
      <family val="2"/>
    </font>
    <font>
      <b/>
      <sz val="11"/>
      <color indexed="18"/>
      <name val="Arial"/>
      <family val="2"/>
    </font>
    <font>
      <b/>
      <sz val="10"/>
      <color rgb="FFFF0000"/>
      <name val="Arial"/>
      <family val="2"/>
    </font>
    <font>
      <b/>
      <sz val="11"/>
      <color rgb="FFFF0000"/>
      <name val="Arial"/>
      <family val="2"/>
    </font>
    <font>
      <b/>
      <sz val="10"/>
      <color rgb="FF006600"/>
      <name val="Arial"/>
      <family val="2"/>
    </font>
    <font>
      <b/>
      <i/>
      <sz val="9"/>
      <color indexed="9"/>
      <name val="Arial"/>
      <family val="2"/>
    </font>
    <font>
      <b/>
      <sz val="11"/>
      <color rgb="FF000099"/>
      <name val="Arial"/>
      <family val="2"/>
    </font>
    <font>
      <b/>
      <sz val="12"/>
      <name val="Arial"/>
      <family val="2"/>
    </font>
    <font>
      <b/>
      <sz val="12"/>
      <color rgb="FF006600"/>
      <name val="Arial"/>
      <family val="2"/>
    </font>
    <font>
      <b/>
      <sz val="11"/>
      <color rgb="FF006600"/>
      <name val="Arial"/>
      <family val="2"/>
    </font>
    <font>
      <b/>
      <sz val="12"/>
      <color rgb="FF002060"/>
      <name val="Arial"/>
      <family val="2"/>
    </font>
    <font>
      <b/>
      <sz val="12"/>
      <color indexed="18"/>
      <name val="Arial"/>
      <family val="2"/>
    </font>
    <font>
      <b/>
      <sz val="11"/>
      <color rgb="FF000080"/>
      <name val="Arial"/>
      <family val="2"/>
    </font>
    <font>
      <sz val="9"/>
      <color indexed="81"/>
      <name val="Tahoma"/>
      <family val="2"/>
    </font>
    <font>
      <b/>
      <sz val="9"/>
      <color indexed="81"/>
      <name val="Tahoma"/>
      <family val="2"/>
    </font>
    <font>
      <b/>
      <sz val="9"/>
      <color rgb="FFFF0000"/>
      <name val="Arial"/>
      <family val="2"/>
    </font>
    <font>
      <sz val="9"/>
      <color rgb="FFFF0000"/>
      <name val="Arial"/>
      <family val="2"/>
    </font>
    <font>
      <b/>
      <sz val="9"/>
      <color indexed="10"/>
      <name val="Tahoma"/>
      <family val="2"/>
    </font>
    <font>
      <sz val="12"/>
      <name val="Arial"/>
      <family val="2"/>
    </font>
    <font>
      <b/>
      <sz val="10"/>
      <color indexed="10"/>
      <name val="Tahoma"/>
      <family val="2"/>
    </font>
    <font>
      <b/>
      <sz val="10"/>
      <color indexed="81"/>
      <name val="Tahoma"/>
      <family val="2"/>
    </font>
    <font>
      <sz val="12"/>
      <name val="Calibri"/>
      <family val="2"/>
      <scheme val="minor"/>
    </font>
    <font>
      <b/>
      <sz val="14"/>
      <color rgb="FF006600"/>
      <name val="Calibri"/>
      <family val="2"/>
      <scheme val="minor"/>
    </font>
    <font>
      <b/>
      <sz val="12"/>
      <color rgb="FF006600"/>
      <name val="Calibri"/>
      <family val="2"/>
      <scheme val="minor"/>
    </font>
    <font>
      <b/>
      <sz val="10"/>
      <color rgb="FF000080"/>
      <name val="Arial"/>
      <family val="2"/>
    </font>
    <font>
      <b/>
      <sz val="10"/>
      <color rgb="FF000099"/>
      <name val="Arial"/>
      <family val="2"/>
    </font>
    <font>
      <b/>
      <sz val="12"/>
      <color rgb="FF000099"/>
      <name val="Arial"/>
      <family val="2"/>
    </font>
    <font>
      <b/>
      <sz val="8"/>
      <color indexed="10"/>
      <name val="Tahoma"/>
      <family val="2"/>
    </font>
    <font>
      <sz val="10"/>
      <color rgb="FFFF0000"/>
      <name val="Arial"/>
      <family val="2"/>
    </font>
    <font>
      <b/>
      <u/>
      <sz val="10"/>
      <name val="Calibri"/>
      <family val="2"/>
    </font>
    <font>
      <sz val="10"/>
      <name val="Calibri"/>
      <family val="2"/>
    </font>
    <font>
      <sz val="10"/>
      <color rgb="FF000099"/>
      <name val="Arial"/>
      <family val="2"/>
    </font>
    <font>
      <b/>
      <sz val="14"/>
      <color rgb="FF000099"/>
      <name val="Arial"/>
      <family val="2"/>
    </font>
    <font>
      <sz val="10"/>
      <color theme="0"/>
      <name val="Arial"/>
      <family val="2"/>
    </font>
    <font>
      <sz val="10"/>
      <color rgb="FF000080"/>
      <name val="Arial"/>
      <family val="2"/>
    </font>
    <font>
      <b/>
      <sz val="10"/>
      <color rgb="FF0000CC"/>
      <name val="Arial"/>
      <family val="2"/>
    </font>
    <font>
      <b/>
      <sz val="8"/>
      <color indexed="32"/>
      <name val="Tahoma"/>
      <family val="2"/>
    </font>
    <font>
      <b/>
      <sz val="14"/>
      <name val="Arial"/>
      <family val="2"/>
    </font>
    <font>
      <b/>
      <sz val="10"/>
      <color rgb="FFA50021"/>
      <name val="Arial"/>
      <family val="2"/>
    </font>
    <font>
      <b/>
      <sz val="12"/>
      <color rgb="FFFF0000"/>
      <name val="Arial"/>
      <family val="2"/>
    </font>
    <font>
      <b/>
      <sz val="14"/>
      <color rgb="FFFF0000"/>
      <name val="Arial"/>
      <family val="2"/>
    </font>
    <font>
      <b/>
      <sz val="11"/>
      <color rgb="FFA50021"/>
      <name val="Arial"/>
      <family val="2"/>
    </font>
    <font>
      <b/>
      <sz val="9"/>
      <color indexed="32"/>
      <name val="Tahoma"/>
      <family val="2"/>
    </font>
    <font>
      <sz val="10"/>
      <color rgb="FFA50021"/>
      <name val="Arial"/>
      <family val="2"/>
    </font>
    <font>
      <b/>
      <u/>
      <sz val="11"/>
      <color rgb="FFA50021"/>
      <name val="Arial"/>
      <family val="2"/>
    </font>
    <font>
      <sz val="12"/>
      <color rgb="FFA50021"/>
      <name val="Arial"/>
      <family val="2"/>
    </font>
    <font>
      <b/>
      <sz val="11"/>
      <color theme="1"/>
      <name val="Calibri"/>
      <family val="2"/>
      <scheme val="minor"/>
    </font>
    <font>
      <b/>
      <sz val="12"/>
      <color rgb="FFC00000"/>
      <name val="Calibri"/>
      <family val="2"/>
      <scheme val="minor"/>
    </font>
    <font>
      <b/>
      <sz val="11"/>
      <color rgb="FFC00000"/>
      <name val="Calibri"/>
      <family val="2"/>
      <scheme val="minor"/>
    </font>
    <font>
      <b/>
      <sz val="11"/>
      <color rgb="FF000099"/>
      <name val="Calibri"/>
      <family val="2"/>
      <scheme val="minor"/>
    </font>
    <font>
      <sz val="11"/>
      <color rgb="FF000099"/>
      <name val="Calibri"/>
      <family val="2"/>
      <scheme val="minor"/>
    </font>
    <font>
      <b/>
      <sz val="12"/>
      <color rgb="FF000099"/>
      <name val="Calibri"/>
      <family val="2"/>
      <scheme val="minor"/>
    </font>
    <font>
      <b/>
      <sz val="12"/>
      <color rgb="FFA50021"/>
      <name val="Calibri"/>
      <family val="2"/>
      <scheme val="minor"/>
    </font>
    <font>
      <b/>
      <sz val="12"/>
      <color rgb="FFA50021"/>
      <name val="Arial"/>
      <family val="2"/>
    </font>
    <font>
      <b/>
      <sz val="9"/>
      <color indexed="37"/>
      <name val="Tahoma"/>
      <family val="2"/>
    </font>
    <font>
      <b/>
      <u/>
      <sz val="9"/>
      <color indexed="81"/>
      <name val="Tahoma"/>
      <family val="2"/>
    </font>
    <font>
      <sz val="11"/>
      <name val="Calibri"/>
      <family val="2"/>
    </font>
    <font>
      <b/>
      <sz val="12"/>
      <color indexed="12"/>
      <name val="Arial"/>
      <family val="2"/>
    </font>
    <font>
      <sz val="11"/>
      <color rgb="FFA50021"/>
      <name val="Arial"/>
      <family val="2"/>
    </font>
    <font>
      <b/>
      <sz val="11"/>
      <name val="Calibri"/>
      <family val="2"/>
    </font>
    <font>
      <sz val="10"/>
      <name val="Times New Roman"/>
      <family val="1"/>
    </font>
    <font>
      <b/>
      <sz val="10"/>
      <name val="Calibri"/>
      <family val="2"/>
    </font>
    <font>
      <sz val="9"/>
      <name val="Cambria"/>
      <family val="1"/>
    </font>
    <font>
      <sz val="10"/>
      <name val="Cambria"/>
      <family val="1"/>
    </font>
    <font>
      <b/>
      <sz val="10"/>
      <name val="Cambria"/>
      <family val="1"/>
    </font>
    <font>
      <u/>
      <sz val="10"/>
      <name val="Arial"/>
      <family val="2"/>
    </font>
    <font>
      <sz val="10"/>
      <color rgb="FF990000"/>
      <name val="Arial"/>
      <family val="2"/>
    </font>
    <font>
      <sz val="9"/>
      <name val="Calibri"/>
      <family val="2"/>
      <scheme val="minor"/>
    </font>
    <font>
      <sz val="10"/>
      <color rgb="FF0000CC"/>
      <name val="Arial"/>
      <family val="2"/>
    </font>
    <font>
      <sz val="10"/>
      <color theme="6" tint="-0.499984740745262"/>
      <name val="Arial"/>
      <family val="2"/>
    </font>
    <font>
      <sz val="10"/>
      <color rgb="FF7030A0"/>
      <name val="Arial"/>
      <family val="2"/>
    </font>
    <font>
      <sz val="10"/>
      <color rgb="FF006600"/>
      <name val="Arial"/>
      <family val="2"/>
    </font>
    <font>
      <b/>
      <sz val="10"/>
      <color rgb="FF7030A0"/>
      <name val="Arial"/>
      <family val="2"/>
    </font>
    <font>
      <b/>
      <i/>
      <sz val="9"/>
      <name val="Arial"/>
      <family val="2"/>
    </font>
    <font>
      <b/>
      <i/>
      <sz val="10"/>
      <name val="Arial"/>
      <family val="2"/>
    </font>
    <font>
      <b/>
      <u/>
      <sz val="11"/>
      <name val="Arial"/>
      <family val="2"/>
    </font>
    <font>
      <b/>
      <sz val="12"/>
      <name val="Calibri"/>
      <family val="2"/>
    </font>
    <font>
      <sz val="10"/>
      <color theme="9" tint="-0.249977111117893"/>
      <name val="Arial"/>
      <family val="2"/>
    </font>
    <font>
      <b/>
      <sz val="10"/>
      <color theme="0"/>
      <name val="Arial"/>
      <family val="2"/>
    </font>
    <font>
      <b/>
      <i/>
      <u/>
      <sz val="10"/>
      <color rgb="FFA50021"/>
      <name val="Arial"/>
      <family val="2"/>
    </font>
    <font>
      <b/>
      <sz val="8"/>
      <color indexed="37"/>
      <name val="Tahoma"/>
      <family val="2"/>
    </font>
    <font>
      <sz val="10"/>
      <color rgb="FF0033CC"/>
      <name val="Arial"/>
      <family val="2"/>
    </font>
    <font>
      <b/>
      <sz val="14"/>
      <color rgb="FFFF0000"/>
      <name val="Calibri"/>
      <family val="2"/>
    </font>
    <font>
      <sz val="11"/>
      <color theme="0"/>
      <name val="Arial"/>
      <family val="2"/>
    </font>
    <font>
      <sz val="11"/>
      <color theme="0" tint="-4.9989318521683403E-2"/>
      <name val="Arial"/>
      <family val="2"/>
    </font>
    <font>
      <b/>
      <sz val="11"/>
      <color rgb="FFC00000"/>
      <name val="Arial"/>
      <family val="2"/>
    </font>
    <font>
      <b/>
      <sz val="11"/>
      <color rgb="FF365F91"/>
      <name val="Calibri"/>
      <family val="2"/>
      <scheme val="minor"/>
    </font>
    <font>
      <b/>
      <sz val="11"/>
      <color rgb="FF006600"/>
      <name val="Calibri"/>
      <family val="2"/>
      <scheme val="minor"/>
    </font>
    <font>
      <sz val="10"/>
      <name val="Calibri"/>
      <family val="2"/>
      <scheme val="minor"/>
    </font>
    <font>
      <b/>
      <sz val="10"/>
      <color rgb="FFC00000"/>
      <name val="Arial"/>
      <family val="2"/>
    </font>
    <font>
      <b/>
      <sz val="12"/>
      <color rgb="FF990000"/>
      <name val="Arial"/>
      <family val="2"/>
    </font>
    <font>
      <b/>
      <sz val="10"/>
      <color rgb="FF990000"/>
      <name val="Arial"/>
      <family val="2"/>
    </font>
    <font>
      <sz val="14"/>
      <color rgb="FF000080"/>
      <name val="Arial"/>
      <family val="2"/>
    </font>
    <font>
      <sz val="14"/>
      <color rgb="FF000099"/>
      <name val="Arial"/>
      <family val="2"/>
    </font>
    <font>
      <b/>
      <sz val="16"/>
      <name val="Arial"/>
      <family val="2"/>
    </font>
    <font>
      <b/>
      <sz val="12"/>
      <color theme="1"/>
      <name val="Calibri"/>
      <family val="2"/>
      <scheme val="minor"/>
    </font>
    <font>
      <b/>
      <sz val="12"/>
      <color theme="1"/>
      <name val="Arial"/>
      <family val="2"/>
    </font>
    <font>
      <sz val="12"/>
      <color theme="1"/>
      <name val="Arial"/>
      <family val="2"/>
    </font>
    <font>
      <sz val="12"/>
      <color rgb="FF000080"/>
      <name val="Arial"/>
      <family val="2"/>
    </font>
    <font>
      <b/>
      <sz val="12"/>
      <color rgb="FF000080"/>
      <name val="Arial"/>
      <family val="2"/>
    </font>
    <font>
      <b/>
      <sz val="12"/>
      <color rgb="FFC00000"/>
      <name val="Arial"/>
      <family val="2"/>
    </font>
    <font>
      <b/>
      <sz val="14"/>
      <color rgb="FF000080"/>
      <name val="Arial"/>
      <family val="2"/>
    </font>
    <font>
      <b/>
      <sz val="14"/>
      <color rgb="FF006600"/>
      <name val="Arial"/>
      <family val="2"/>
    </font>
    <font>
      <sz val="10"/>
      <color rgb="FFC00000"/>
      <name val="Arial"/>
      <family val="2"/>
    </font>
    <font>
      <sz val="12"/>
      <color rgb="FF006600"/>
      <name val="Arial"/>
      <family val="2"/>
    </font>
    <font>
      <b/>
      <sz val="14"/>
      <color rgb="FF990000"/>
      <name val="Arial"/>
      <family val="2"/>
    </font>
    <font>
      <sz val="10"/>
      <color theme="0" tint="-4.9989318521683403E-2"/>
      <name val="Arial"/>
      <family val="2"/>
    </font>
    <font>
      <b/>
      <sz val="9"/>
      <color theme="0"/>
      <name val="Arial"/>
      <family val="2"/>
    </font>
    <font>
      <b/>
      <sz val="10"/>
      <color theme="0" tint="-4.9989318521683403E-2"/>
      <name val="Arial"/>
      <family val="2"/>
    </font>
    <font>
      <b/>
      <u/>
      <sz val="10"/>
      <color rgb="FF990000"/>
      <name val="Arial"/>
      <family val="2"/>
    </font>
    <font>
      <b/>
      <i/>
      <u/>
      <sz val="10"/>
      <name val="Arial"/>
      <family val="2"/>
    </font>
    <font>
      <b/>
      <sz val="11"/>
      <color rgb="FFC00000"/>
      <name val="Calibri"/>
      <family val="2"/>
    </font>
    <font>
      <b/>
      <sz val="12"/>
      <color rgb="FFC00000"/>
      <name val="Webdings"/>
      <family val="1"/>
      <charset val="2"/>
    </font>
    <font>
      <sz val="11"/>
      <color rgb="FF000080"/>
      <name val="Arial"/>
      <family val="2"/>
    </font>
  </fonts>
  <fills count="24">
    <fill>
      <patternFill patternType="none"/>
    </fill>
    <fill>
      <patternFill patternType="gray125"/>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79998168889431442"/>
        <bgColor indexed="64"/>
      </patternFill>
    </fill>
    <fill>
      <gradientFill degree="90">
        <stop position="0">
          <color theme="0"/>
        </stop>
        <stop position="1">
          <color theme="4"/>
        </stop>
      </gradient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0099"/>
        <bgColor indexed="64"/>
      </patternFill>
    </fill>
    <fill>
      <patternFill patternType="solid">
        <fgColor rgb="FF000080"/>
        <bgColor indexed="64"/>
      </patternFill>
    </fill>
    <fill>
      <patternFill patternType="solid">
        <fgColor rgb="FF0033CC"/>
        <bgColor indexed="64"/>
      </patternFill>
    </fill>
    <fill>
      <patternFill patternType="solid">
        <fgColor rgb="FFFFFF66"/>
        <bgColor indexed="64"/>
      </patternFill>
    </fill>
    <fill>
      <patternFill patternType="solid">
        <fgColor rgb="FFC00000"/>
        <bgColor indexed="64"/>
      </patternFill>
    </fill>
    <fill>
      <patternFill patternType="solid">
        <fgColor rgb="FF7030A0"/>
        <bgColor indexed="64"/>
      </patternFill>
    </fill>
    <fill>
      <patternFill patternType="solid">
        <fgColor rgb="FFF1F5E7"/>
        <bgColor indexed="64"/>
      </patternFill>
    </fill>
    <fill>
      <patternFill patternType="solid">
        <fgColor theme="0" tint="-4.9989318521683403E-2"/>
        <bgColor indexed="64"/>
      </patternFill>
    </fill>
    <fill>
      <patternFill patternType="solid">
        <fgColor rgb="FF006600"/>
        <bgColor indexed="64"/>
      </patternFill>
    </fill>
    <fill>
      <patternFill patternType="solid">
        <fgColor rgb="FF990000"/>
        <bgColor indexed="64"/>
      </patternFill>
    </fill>
    <fill>
      <patternFill patternType="solid">
        <fgColor theme="9" tint="-0.24994659260841701"/>
        <bgColor indexed="64"/>
      </patternFill>
    </fill>
    <fill>
      <patternFill patternType="solid">
        <fgColor indexed="47"/>
        <bgColor indexed="64"/>
      </patternFill>
    </fill>
    <fill>
      <patternFill patternType="solid">
        <fgColor theme="9" tint="0.39997558519241921"/>
        <bgColor indexed="64"/>
      </patternFill>
    </fill>
    <fill>
      <patternFill patternType="solid">
        <fgColor theme="2" tint="-9.9978637043366805E-2"/>
        <bgColor indexed="64"/>
      </patternFill>
    </fill>
  </fills>
  <borders count="6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style="thin">
        <color indexed="64"/>
      </right>
      <top/>
      <bottom/>
      <diagonal/>
    </border>
    <border>
      <left/>
      <right/>
      <top style="hair">
        <color indexed="64"/>
      </top>
      <bottom/>
      <diagonal/>
    </border>
    <border>
      <left/>
      <right/>
      <top/>
      <bottom style="dashed">
        <color auto="1"/>
      </bottom>
      <diagonal/>
    </border>
    <border>
      <left/>
      <right/>
      <top style="thin">
        <color indexed="64"/>
      </top>
      <bottom style="dashed">
        <color auto="1"/>
      </bottom>
      <diagonal/>
    </border>
    <border>
      <left/>
      <right/>
      <top style="dashed">
        <color auto="1"/>
      </top>
      <bottom style="dashed">
        <color auto="1"/>
      </bottom>
      <diagonal/>
    </border>
    <border>
      <left/>
      <right/>
      <top style="dashed">
        <color auto="1"/>
      </top>
      <bottom style="hair">
        <color indexed="64"/>
      </bottom>
      <diagonal/>
    </border>
    <border>
      <left/>
      <right/>
      <top style="dashed">
        <color auto="1"/>
      </top>
      <bottom/>
      <diagonal/>
    </border>
    <border>
      <left style="thin">
        <color indexed="64"/>
      </left>
      <right/>
      <top/>
      <bottom/>
      <diagonal/>
    </border>
    <border>
      <left style="thin">
        <color indexed="64"/>
      </left>
      <right/>
      <top/>
      <bottom style="thin">
        <color indexed="64"/>
      </bottom>
      <diagonal/>
    </border>
    <border>
      <left/>
      <right/>
      <top/>
      <bottom style="hair">
        <color rgb="FF000099"/>
      </bottom>
      <diagonal/>
    </border>
    <border>
      <left/>
      <right/>
      <top style="hair">
        <color rgb="FF000099"/>
      </top>
      <bottom style="hair">
        <color rgb="FF000099"/>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right style="double">
        <color indexed="64"/>
      </right>
      <top/>
      <bottom/>
      <diagonal/>
    </border>
    <border>
      <left style="hair">
        <color indexed="64"/>
      </left>
      <right/>
      <top style="hair">
        <color indexed="64"/>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 fillId="0" borderId="0"/>
  </cellStyleXfs>
  <cellXfs count="1549">
    <xf numFmtId="0" fontId="0" fillId="0" borderId="0" xfId="0"/>
    <xf numFmtId="0" fontId="0" fillId="0" borderId="0" xfId="0" applyProtection="1">
      <protection locked="0"/>
    </xf>
    <xf numFmtId="0" fontId="0" fillId="0" borderId="0" xfId="0" applyAlignment="1">
      <alignment horizontal="left"/>
    </xf>
    <xf numFmtId="0" fontId="21" fillId="0" borderId="0" xfId="0" applyFont="1"/>
    <xf numFmtId="0" fontId="21" fillId="0" borderId="0" xfId="0" applyFont="1" applyAlignment="1">
      <alignment wrapText="1"/>
    </xf>
    <xf numFmtId="0" fontId="0" fillId="0" borderId="0" xfId="0" applyAlignment="1">
      <alignment wrapText="1"/>
    </xf>
    <xf numFmtId="0" fontId="21" fillId="0" borderId="0" xfId="0" applyFont="1" applyFill="1" applyProtection="1">
      <protection hidden="1"/>
    </xf>
    <xf numFmtId="0" fontId="0" fillId="0" borderId="0" xfId="0" applyProtection="1">
      <protection hidden="1"/>
    </xf>
    <xf numFmtId="8" fontId="10" fillId="0" borderId="0" xfId="0" applyNumberFormat="1" applyFont="1" applyBorder="1" applyProtection="1">
      <protection hidden="1"/>
    </xf>
    <xf numFmtId="0" fontId="9" fillId="0" borderId="0" xfId="0" applyFont="1" applyProtection="1">
      <protection hidden="1"/>
    </xf>
    <xf numFmtId="0" fontId="8" fillId="0" borderId="0" xfId="0" applyFont="1" applyProtection="1">
      <protection hidden="1"/>
    </xf>
    <xf numFmtId="0" fontId="8" fillId="0" borderId="0" xfId="0" applyFont="1" applyAlignment="1" applyProtection="1">
      <alignment horizontal="right"/>
      <protection hidden="1"/>
    </xf>
    <xf numFmtId="0" fontId="8" fillId="0" borderId="0" xfId="0" applyFont="1" applyBorder="1" applyProtection="1">
      <protection hidden="1"/>
    </xf>
    <xf numFmtId="0" fontId="10" fillId="0" borderId="0" xfId="0" applyFont="1" applyFill="1" applyProtection="1">
      <protection hidden="1"/>
    </xf>
    <xf numFmtId="0" fontId="10" fillId="0" borderId="0" xfId="0" applyFont="1" applyFill="1" applyBorder="1" applyAlignment="1" applyProtection="1">
      <alignment horizontal="right"/>
      <protection hidden="1"/>
    </xf>
    <xf numFmtId="8" fontId="10" fillId="0" borderId="0" xfId="0" applyNumberFormat="1" applyFont="1" applyFill="1" applyBorder="1" applyProtection="1">
      <protection hidden="1"/>
    </xf>
    <xf numFmtId="0" fontId="21" fillId="0" borderId="0" xfId="0" applyFont="1" applyAlignment="1" applyProtection="1">
      <protection hidden="1"/>
    </xf>
    <xf numFmtId="0" fontId="16" fillId="0" borderId="0" xfId="1" applyAlignment="1" applyProtection="1">
      <protection hidden="1"/>
    </xf>
    <xf numFmtId="14" fontId="26" fillId="0" borderId="0" xfId="0" applyNumberFormat="1" applyFont="1" applyProtection="1">
      <protection hidden="1"/>
    </xf>
    <xf numFmtId="0" fontId="4" fillId="0" borderId="0" xfId="0" applyFont="1" applyProtection="1">
      <protection hidden="1"/>
    </xf>
    <xf numFmtId="0" fontId="15" fillId="0" borderId="0" xfId="0" applyFont="1" applyAlignment="1" applyProtection="1">
      <alignment horizontal="right"/>
      <protection hidden="1"/>
    </xf>
    <xf numFmtId="166" fontId="25" fillId="0" borderId="0" xfId="0" applyNumberFormat="1" applyFont="1" applyProtection="1">
      <protection hidden="1"/>
    </xf>
    <xf numFmtId="0" fontId="0" fillId="0" borderId="0" xfId="0" applyAlignment="1" applyProtection="1">
      <protection hidden="1"/>
    </xf>
    <xf numFmtId="0" fontId="9" fillId="0" borderId="0" xfId="0" applyFont="1" applyAlignment="1" applyProtection="1">
      <alignment horizontal="right"/>
      <protection hidden="1"/>
    </xf>
    <xf numFmtId="0" fontId="12" fillId="0" borderId="0" xfId="0" applyFont="1" applyBorder="1" applyAlignment="1" applyProtection="1">
      <alignment horizontal="right"/>
      <protection hidden="1"/>
    </xf>
    <xf numFmtId="0" fontId="21" fillId="0" borderId="0" xfId="0" applyFont="1" applyFill="1" applyBorder="1" applyAlignment="1" applyProtection="1">
      <alignment horizontal="right"/>
      <protection hidden="1"/>
    </xf>
    <xf numFmtId="0" fontId="11" fillId="0" borderId="0" xfId="0" applyFont="1" applyAlignment="1" applyProtection="1">
      <protection hidden="1"/>
    </xf>
    <xf numFmtId="164" fontId="0" fillId="0" borderId="0" xfId="0" applyNumberFormat="1" applyProtection="1">
      <protection hidden="1"/>
    </xf>
    <xf numFmtId="0" fontId="13" fillId="0" borderId="0" xfId="0" applyFont="1" applyProtection="1">
      <protection hidden="1"/>
    </xf>
    <xf numFmtId="0" fontId="0" fillId="0" borderId="0" xfId="0" applyBorder="1" applyAlignment="1" applyProtection="1">
      <alignment horizontal="left"/>
      <protection hidden="1"/>
    </xf>
    <xf numFmtId="0" fontId="23" fillId="0" borderId="0" xfId="0" applyFont="1" applyAlignment="1" applyProtection="1">
      <protection hidden="1"/>
    </xf>
    <xf numFmtId="0" fontId="17" fillId="0" borderId="0" xfId="0" applyFont="1" applyAlignment="1" applyProtection="1">
      <alignment horizontal="center"/>
      <protection hidden="1"/>
    </xf>
    <xf numFmtId="8" fontId="10" fillId="0" borderId="0" xfId="0" applyNumberFormat="1" applyFont="1" applyBorder="1" applyAlignment="1" applyProtection="1">
      <protection hidden="1"/>
    </xf>
    <xf numFmtId="0" fontId="0" fillId="0" borderId="0" xfId="0" applyBorder="1" applyAlignment="1" applyProtection="1">
      <alignment horizontal="right"/>
      <protection hidden="1"/>
    </xf>
    <xf numFmtId="0" fontId="27" fillId="0" borderId="0" xfId="0" applyFont="1" applyBorder="1" applyAlignment="1" applyProtection="1">
      <alignment horizontal="right"/>
      <protection hidden="1"/>
    </xf>
    <xf numFmtId="0" fontId="29" fillId="0" borderId="0" xfId="0" applyFont="1" applyProtection="1">
      <protection hidden="1"/>
    </xf>
    <xf numFmtId="0" fontId="30" fillId="0" borderId="0" xfId="0" applyFont="1" applyFill="1" applyProtection="1">
      <protection hidden="1"/>
    </xf>
    <xf numFmtId="0" fontId="26" fillId="0" borderId="0" xfId="0" applyFont="1" applyProtection="1">
      <protection hidden="1"/>
    </xf>
    <xf numFmtId="0" fontId="31" fillId="0" borderId="0" xfId="0" applyFont="1" applyFill="1" applyAlignment="1" applyProtection="1">
      <alignment horizontal="right"/>
      <protection hidden="1"/>
    </xf>
    <xf numFmtId="0" fontId="33" fillId="0" borderId="0" xfId="0" applyFont="1" applyProtection="1">
      <protection hidden="1"/>
    </xf>
    <xf numFmtId="8" fontId="33" fillId="0" borderId="0" xfId="0" applyNumberFormat="1" applyFont="1" applyProtection="1">
      <protection hidden="1"/>
    </xf>
    <xf numFmtId="164" fontId="9" fillId="0" borderId="1" xfId="0" applyNumberFormat="1" applyFont="1" applyBorder="1" applyProtection="1">
      <protection hidden="1"/>
    </xf>
    <xf numFmtId="0" fontId="10" fillId="0" borderId="1" xfId="0" applyFont="1" applyBorder="1" applyAlignment="1" applyProtection="1">
      <protection hidden="1"/>
    </xf>
    <xf numFmtId="0" fontId="9" fillId="0" borderId="0" xfId="0" applyFont="1" applyBorder="1" applyProtection="1">
      <protection hidden="1"/>
    </xf>
    <xf numFmtId="0" fontId="9" fillId="0" borderId="0" xfId="0" applyFont="1" applyAlignment="1" applyProtection="1">
      <alignment horizontal="left"/>
      <protection hidden="1"/>
    </xf>
    <xf numFmtId="0" fontId="7" fillId="0" borderId="0" xfId="0" applyFont="1" applyProtection="1">
      <protection hidden="1"/>
    </xf>
    <xf numFmtId="0" fontId="8" fillId="0" borderId="0" xfId="0" applyFont="1" applyAlignment="1" applyProtection="1">
      <protection hidden="1"/>
    </xf>
    <xf numFmtId="0" fontId="35" fillId="0" borderId="0" xfId="0" applyFont="1" applyProtection="1">
      <protection hidden="1"/>
    </xf>
    <xf numFmtId="0" fontId="0" fillId="0" borderId="2" xfId="0" applyBorder="1" applyProtection="1">
      <protection hidden="1"/>
    </xf>
    <xf numFmtId="0" fontId="33" fillId="0" borderId="9" xfId="0" applyFont="1" applyBorder="1" applyProtection="1">
      <protection locked="0"/>
    </xf>
    <xf numFmtId="164" fontId="9" fillId="0" borderId="1" xfId="0" applyNumberFormat="1" applyFont="1" applyBorder="1" applyAlignment="1" applyProtection="1">
      <alignment horizontal="right"/>
      <protection hidden="1"/>
    </xf>
    <xf numFmtId="0" fontId="7" fillId="0" borderId="0" xfId="0" applyFont="1" applyBorder="1" applyAlignment="1" applyProtection="1">
      <protection hidden="1"/>
    </xf>
    <xf numFmtId="0" fontId="21" fillId="0" borderId="0" xfId="0" applyFont="1" applyAlignment="1" applyProtection="1">
      <alignment horizontal="center"/>
      <protection hidden="1"/>
    </xf>
    <xf numFmtId="0" fontId="21" fillId="0" borderId="0" xfId="0" applyFont="1" applyAlignment="1" applyProtection="1">
      <alignment horizontal="left"/>
      <protection hidden="1"/>
    </xf>
    <xf numFmtId="0" fontId="21" fillId="0" borderId="0" xfId="0" applyFont="1" applyBorder="1" applyAlignment="1" applyProtection="1">
      <alignment horizontal="left"/>
      <protection hidden="1"/>
    </xf>
    <xf numFmtId="0" fontId="9" fillId="0" borderId="0" xfId="0" applyNumberFormat="1" applyFont="1" applyBorder="1" applyAlignment="1" applyProtection="1">
      <alignment horizontal="center"/>
      <protection hidden="1"/>
    </xf>
    <xf numFmtId="0" fontId="21" fillId="0" borderId="0" xfId="0" applyFont="1" applyBorder="1" applyAlignment="1" applyProtection="1">
      <protection hidden="1"/>
    </xf>
    <xf numFmtId="0" fontId="7" fillId="0" borderId="0" xfId="0" applyFont="1" applyAlignment="1" applyProtection="1">
      <alignment horizontal="center"/>
      <protection hidden="1"/>
    </xf>
    <xf numFmtId="164" fontId="9" fillId="0" borderId="0" xfId="0" applyNumberFormat="1" applyFont="1" applyBorder="1" applyProtection="1">
      <protection hidden="1"/>
    </xf>
    <xf numFmtId="8" fontId="9" fillId="0" borderId="0" xfId="0" applyNumberFormat="1" applyFont="1" applyBorder="1" applyAlignment="1" applyProtection="1">
      <protection hidden="1"/>
    </xf>
    <xf numFmtId="0" fontId="10" fillId="0" borderId="0" xfId="0" applyFont="1" applyAlignment="1" applyProtection="1">
      <alignment horizontal="right"/>
      <protection hidden="1"/>
    </xf>
    <xf numFmtId="0" fontId="21" fillId="0" borderId="0" xfId="0" applyFont="1" applyBorder="1" applyAlignment="1" applyProtection="1">
      <alignment horizontal="center"/>
      <protection hidden="1"/>
    </xf>
    <xf numFmtId="0" fontId="15" fillId="0" borderId="1" xfId="0" applyFont="1" applyBorder="1" applyAlignment="1" applyProtection="1">
      <alignment horizontal="right"/>
      <protection hidden="1"/>
    </xf>
    <xf numFmtId="0" fontId="9" fillId="0" borderId="2" xfId="0" applyFont="1" applyBorder="1" applyAlignment="1" applyProtection="1">
      <alignment horizontal="center"/>
      <protection hidden="1"/>
    </xf>
    <xf numFmtId="164" fontId="9" fillId="0" borderId="0" xfId="0" applyNumberFormat="1" applyFont="1" applyBorder="1" applyAlignment="1" applyProtection="1">
      <alignment horizontal="right"/>
      <protection hidden="1"/>
    </xf>
    <xf numFmtId="0" fontId="21" fillId="0" borderId="3" xfId="0" applyFont="1" applyBorder="1" applyAlignment="1" applyProtection="1">
      <alignment horizontal="center"/>
      <protection hidden="1"/>
    </xf>
    <xf numFmtId="164" fontId="8" fillId="0" borderId="0" xfId="0" applyNumberFormat="1" applyFont="1" applyProtection="1">
      <protection hidden="1"/>
    </xf>
    <xf numFmtId="8" fontId="10" fillId="0" borderId="0" xfId="0" applyNumberFormat="1" applyFont="1" applyProtection="1">
      <protection hidden="1"/>
    </xf>
    <xf numFmtId="164" fontId="8" fillId="0" borderId="0" xfId="0" applyNumberFormat="1" applyFont="1" applyBorder="1" applyAlignment="1" applyProtection="1">
      <alignment horizontal="center"/>
      <protection locked="0"/>
    </xf>
    <xf numFmtId="8" fontId="10" fillId="0" borderId="0" xfId="0" applyNumberFormat="1" applyFont="1" applyBorder="1" applyAlignment="1" applyProtection="1">
      <alignment horizontal="right"/>
      <protection hidden="1"/>
    </xf>
    <xf numFmtId="164" fontId="38" fillId="0" borderId="0" xfId="0" applyNumberFormat="1" applyFont="1" applyBorder="1" applyAlignment="1" applyProtection="1">
      <alignment horizontal="right"/>
      <protection hidden="1"/>
    </xf>
    <xf numFmtId="0" fontId="39" fillId="0" borderId="0" xfId="0" applyFont="1" applyAlignment="1" applyProtection="1">
      <alignment horizontal="center"/>
      <protection hidden="1"/>
    </xf>
    <xf numFmtId="0" fontId="22" fillId="0" borderId="0" xfId="0" applyFont="1" applyProtection="1">
      <protection hidden="1"/>
    </xf>
    <xf numFmtId="0" fontId="10" fillId="0" borderId="1" xfId="0" quotePrefix="1" applyFont="1" applyBorder="1" applyAlignment="1" applyProtection="1">
      <alignment horizontal="left"/>
      <protection hidden="1"/>
    </xf>
    <xf numFmtId="0" fontId="8" fillId="0" borderId="0" xfId="0" applyFont="1" applyProtection="1">
      <protection locked="0"/>
    </xf>
    <xf numFmtId="0" fontId="10" fillId="0" borderId="0" xfId="0" applyFont="1" applyAlignment="1" applyProtection="1">
      <protection hidden="1"/>
    </xf>
    <xf numFmtId="8" fontId="9" fillId="0" borderId="0" xfId="0" applyNumberFormat="1" applyFont="1" applyBorder="1" applyAlignment="1" applyProtection="1">
      <alignment horizontal="right"/>
      <protection hidden="1"/>
    </xf>
    <xf numFmtId="8" fontId="9" fillId="0" borderId="0" xfId="0" applyNumberFormat="1" applyFont="1" applyBorder="1" applyProtection="1">
      <protection hidden="1"/>
    </xf>
    <xf numFmtId="164" fontId="9" fillId="0" borderId="0" xfId="0" applyNumberFormat="1" applyFont="1" applyBorder="1"/>
    <xf numFmtId="164" fontId="9" fillId="0" borderId="11" xfId="0" applyNumberFormat="1" applyFont="1" applyBorder="1" applyAlignment="1" applyProtection="1">
      <alignment horizontal="center"/>
      <protection locked="0"/>
    </xf>
    <xf numFmtId="164" fontId="9" fillId="0" borderId="7" xfId="0" applyNumberFormat="1" applyFont="1" applyBorder="1" applyProtection="1">
      <protection hidden="1"/>
    </xf>
    <xf numFmtId="8" fontId="9" fillId="0" borderId="12" xfId="0" applyNumberFormat="1" applyFont="1" applyBorder="1" applyAlignment="1" applyProtection="1">
      <alignment horizontal="right"/>
      <protection hidden="1"/>
    </xf>
    <xf numFmtId="8" fontId="9" fillId="0" borderId="7" xfId="0" applyNumberFormat="1" applyFont="1" applyBorder="1" applyProtection="1">
      <protection hidden="1"/>
    </xf>
    <xf numFmtId="164" fontId="9" fillId="0" borderId="11" xfId="0" applyNumberFormat="1" applyFont="1" applyBorder="1" applyAlignment="1" applyProtection="1">
      <alignment horizontal="right"/>
      <protection locked="0"/>
    </xf>
    <xf numFmtId="164" fontId="9" fillId="0" borderId="0" xfId="0" applyNumberFormat="1" applyFont="1" applyProtection="1">
      <protection hidden="1"/>
    </xf>
    <xf numFmtId="8" fontId="9" fillId="0" borderId="4" xfId="0" applyNumberFormat="1" applyFont="1" applyBorder="1" applyProtection="1">
      <protection hidden="1"/>
    </xf>
    <xf numFmtId="8" fontId="21" fillId="0" borderId="0" xfId="0" applyNumberFormat="1" applyFont="1" applyBorder="1" applyAlignment="1" applyProtection="1">
      <protection hidden="1"/>
    </xf>
    <xf numFmtId="0" fontId="41" fillId="0" borderId="0" xfId="0" applyFont="1" applyProtection="1">
      <protection hidden="1"/>
    </xf>
    <xf numFmtId="0" fontId="42" fillId="0" borderId="0" xfId="0" applyFont="1" applyProtection="1">
      <protection hidden="1"/>
    </xf>
    <xf numFmtId="164" fontId="33" fillId="4" borderId="6" xfId="0" applyNumberFormat="1" applyFont="1" applyFill="1" applyBorder="1" applyAlignment="1" applyProtection="1">
      <alignment horizontal="center"/>
      <protection locked="0"/>
    </xf>
    <xf numFmtId="0" fontId="33" fillId="0" borderId="0" xfId="0" applyFont="1" applyAlignment="1" applyProtection="1">
      <alignment horizontal="right"/>
      <protection hidden="1"/>
    </xf>
    <xf numFmtId="164" fontId="21" fillId="4" borderId="3" xfId="0" applyNumberFormat="1" applyFont="1" applyFill="1" applyBorder="1" applyAlignment="1" applyProtection="1">
      <alignment horizontal="center"/>
      <protection locked="0"/>
    </xf>
    <xf numFmtId="0" fontId="41" fillId="0" borderId="2" xfId="0" applyFont="1" applyBorder="1" applyProtection="1">
      <protection hidden="1"/>
    </xf>
    <xf numFmtId="0" fontId="4" fillId="0" borderId="0" xfId="0" applyFont="1" applyBorder="1" applyAlignment="1" applyProtection="1">
      <protection hidden="1"/>
    </xf>
    <xf numFmtId="8" fontId="27" fillId="0" borderId="0" xfId="0" applyNumberFormat="1" applyFont="1" applyBorder="1" applyAlignment="1" applyProtection="1">
      <protection hidden="1"/>
    </xf>
    <xf numFmtId="164" fontId="5" fillId="0" borderId="0" xfId="0" applyNumberFormat="1" applyFont="1" applyBorder="1" applyAlignment="1" applyProtection="1">
      <alignment horizontal="right"/>
      <protection hidden="1"/>
    </xf>
    <xf numFmtId="164" fontId="9" fillId="0" borderId="14" xfId="0" applyNumberFormat="1" applyFont="1" applyBorder="1" applyProtection="1">
      <protection hidden="1"/>
    </xf>
    <xf numFmtId="8" fontId="42" fillId="0" borderId="14" xfId="0" applyNumberFormat="1" applyFont="1" applyBorder="1" applyAlignment="1" applyProtection="1">
      <protection hidden="1"/>
    </xf>
    <xf numFmtId="0" fontId="43" fillId="0" borderId="0" xfId="0" applyFont="1" applyAlignment="1" applyProtection="1">
      <protection hidden="1"/>
    </xf>
    <xf numFmtId="8" fontId="34" fillId="0" borderId="14" xfId="0" applyNumberFormat="1" applyFont="1" applyBorder="1" applyAlignment="1" applyProtection="1">
      <protection hidden="1"/>
    </xf>
    <xf numFmtId="8" fontId="42" fillId="0" borderId="14" xfId="0" applyNumberFormat="1" applyFont="1" applyBorder="1" applyProtection="1">
      <protection hidden="1"/>
    </xf>
    <xf numFmtId="164" fontId="34" fillId="0" borderId="14" xfId="0" applyNumberFormat="1" applyFont="1" applyBorder="1" applyAlignment="1" applyProtection="1">
      <protection hidden="1"/>
    </xf>
    <xf numFmtId="164" fontId="42" fillId="0" borderId="16" xfId="0" applyNumberFormat="1" applyFont="1" applyBorder="1" applyAlignment="1" applyProtection="1">
      <alignment horizontal="right"/>
      <protection hidden="1"/>
    </xf>
    <xf numFmtId="164" fontId="42" fillId="0" borderId="14" xfId="0" applyNumberFormat="1" applyFont="1" applyBorder="1" applyProtection="1">
      <protection hidden="1"/>
    </xf>
    <xf numFmtId="164" fontId="8" fillId="0" borderId="15" xfId="0" applyNumberFormat="1" applyFont="1" applyBorder="1" applyProtection="1">
      <protection hidden="1"/>
    </xf>
    <xf numFmtId="8" fontId="9" fillId="0" borderId="10" xfId="0" applyNumberFormat="1" applyFont="1" applyBorder="1" applyProtection="1">
      <protection hidden="1"/>
    </xf>
    <xf numFmtId="164" fontId="9" fillId="0" borderId="10" xfId="0" applyNumberFormat="1" applyFont="1" applyBorder="1" applyProtection="1">
      <protection locked="0"/>
    </xf>
    <xf numFmtId="8" fontId="9" fillId="0" borderId="5" xfId="0" applyNumberFormat="1" applyFont="1" applyBorder="1" applyProtection="1">
      <protection hidden="1"/>
    </xf>
    <xf numFmtId="164" fontId="9" fillId="0" borderId="10" xfId="0" applyNumberFormat="1" applyFont="1" applyBorder="1" applyProtection="1">
      <protection hidden="1"/>
    </xf>
    <xf numFmtId="0" fontId="21" fillId="0" borderId="0" xfId="0" applyFont="1" applyBorder="1" applyAlignment="1" applyProtection="1">
      <alignment horizontal="left"/>
      <protection hidden="1"/>
    </xf>
    <xf numFmtId="8" fontId="9" fillId="0" borderId="14" xfId="0" applyNumberFormat="1" applyFont="1" applyBorder="1" applyAlignment="1" applyProtection="1">
      <alignment horizontal="center"/>
      <protection locked="0"/>
    </xf>
    <xf numFmtId="8" fontId="42" fillId="0" borderId="0" xfId="0" applyNumberFormat="1" applyFont="1" applyBorder="1" applyAlignment="1" applyProtection="1">
      <protection hidden="1"/>
    </xf>
    <xf numFmtId="0" fontId="4" fillId="0" borderId="5" xfId="0" applyFont="1" applyBorder="1" applyAlignment="1" applyProtection="1">
      <alignment horizontal="center"/>
      <protection locked="0"/>
    </xf>
    <xf numFmtId="0" fontId="33" fillId="0" borderId="0" xfId="0" applyFont="1" applyAlignment="1" applyProtection="1">
      <protection locked="0"/>
    </xf>
    <xf numFmtId="0" fontId="4" fillId="0" borderId="0" xfId="0" applyFont="1"/>
    <xf numFmtId="0" fontId="0" fillId="0" borderId="2" xfId="0" applyBorder="1" applyAlignment="1" applyProtection="1">
      <protection hidden="1"/>
    </xf>
    <xf numFmtId="0" fontId="0" fillId="0" borderId="0" xfId="0" applyBorder="1"/>
    <xf numFmtId="164" fontId="45" fillId="0" borderId="0" xfId="0" applyNumberFormat="1" applyFont="1" applyBorder="1" applyAlignment="1" applyProtection="1">
      <alignment horizontal="right"/>
      <protection hidden="1"/>
    </xf>
    <xf numFmtId="0" fontId="54" fillId="0" borderId="0" xfId="0" applyFont="1" applyAlignment="1">
      <alignment vertical="center" wrapText="1"/>
    </xf>
    <xf numFmtId="20" fontId="33" fillId="0" borderId="5"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14" fontId="33" fillId="0" borderId="1" xfId="0" applyNumberFormat="1" applyFont="1" applyBorder="1" applyAlignment="1" applyProtection="1">
      <alignment horizontal="center"/>
      <protection locked="0"/>
    </xf>
    <xf numFmtId="0" fontId="33" fillId="0" borderId="3" xfId="0" applyFont="1" applyBorder="1" applyAlignment="1" applyProtection="1">
      <alignment horizontal="center"/>
      <protection hidden="1"/>
    </xf>
    <xf numFmtId="14" fontId="9" fillId="0" borderId="1" xfId="0" applyNumberFormat="1" applyFont="1" applyBorder="1" applyAlignment="1" applyProtection="1">
      <alignment horizontal="center"/>
      <protection locked="0"/>
    </xf>
    <xf numFmtId="0" fontId="10" fillId="0" borderId="0" xfId="0" applyFont="1" applyAlignment="1" applyProtection="1">
      <alignment horizontal="center"/>
      <protection hidden="1"/>
    </xf>
    <xf numFmtId="20" fontId="9" fillId="0" borderId="5" xfId="0" applyNumberFormat="1" applyFont="1" applyBorder="1" applyAlignment="1" applyProtection="1">
      <alignment horizontal="center"/>
      <protection locked="0"/>
    </xf>
    <xf numFmtId="0" fontId="9" fillId="0" borderId="0" xfId="0" applyFont="1" applyBorder="1" applyAlignment="1">
      <alignment horizontal="right"/>
    </xf>
    <xf numFmtId="0" fontId="9" fillId="0" borderId="0" xfId="0" quotePrefix="1" applyFont="1" applyBorder="1" applyAlignment="1">
      <alignment horizontal="right"/>
    </xf>
    <xf numFmtId="14" fontId="21" fillId="0" borderId="1" xfId="0" applyNumberFormat="1" applyFont="1" applyBorder="1" applyAlignment="1" applyProtection="1">
      <alignment horizontal="center"/>
      <protection locked="0"/>
    </xf>
    <xf numFmtId="0" fontId="21" fillId="0" borderId="1" xfId="0" applyFont="1" applyBorder="1" applyAlignment="1" applyProtection="1">
      <alignment horizontal="center"/>
      <protection hidden="1"/>
    </xf>
    <xf numFmtId="0" fontId="21" fillId="0" borderId="1" xfId="0" applyFont="1" applyBorder="1" applyAlignment="1" applyProtection="1">
      <alignment horizontal="left"/>
      <protection hidden="1"/>
    </xf>
    <xf numFmtId="0" fontId="4" fillId="0" borderId="0" xfId="0" applyFont="1" applyAlignment="1" applyProtection="1">
      <alignment horizontal="left"/>
      <protection hidden="1"/>
    </xf>
    <xf numFmtId="0" fontId="0" fillId="0" borderId="0" xfId="0"/>
    <xf numFmtId="0" fontId="10" fillId="0" borderId="0" xfId="0" applyFont="1" applyBorder="1" applyAlignment="1" applyProtection="1">
      <alignment horizontal="right"/>
      <protection hidden="1"/>
    </xf>
    <xf numFmtId="0" fontId="9" fillId="0" borderId="0" xfId="0" quotePrefix="1" applyFont="1" applyAlignment="1" applyProtection="1">
      <alignment horizontal="right"/>
      <protection hidden="1"/>
    </xf>
    <xf numFmtId="0" fontId="45" fillId="0" borderId="0" xfId="0" quotePrefix="1" applyFont="1" applyBorder="1" applyAlignment="1" applyProtection="1">
      <alignment horizontal="right"/>
      <protection hidden="1"/>
    </xf>
    <xf numFmtId="0" fontId="48" fillId="0" borderId="0" xfId="0" applyFont="1" applyBorder="1" applyAlignment="1" applyProtection="1">
      <protection hidden="1"/>
    </xf>
    <xf numFmtId="0" fontId="32" fillId="0" borderId="1" xfId="0" applyFont="1" applyBorder="1" applyProtection="1">
      <protection hidden="1"/>
    </xf>
    <xf numFmtId="0" fontId="0" fillId="0" borderId="1" xfId="0" applyBorder="1" applyProtection="1">
      <protection hidden="1"/>
    </xf>
    <xf numFmtId="164" fontId="42" fillId="0" borderId="0" xfId="0" quotePrefix="1" applyNumberFormat="1" applyFont="1" applyBorder="1" applyAlignment="1" applyProtection="1">
      <alignment horizontal="center"/>
      <protection hidden="1"/>
    </xf>
    <xf numFmtId="0" fontId="0" fillId="0" borderId="0" xfId="0" applyProtection="1">
      <protection hidden="1"/>
    </xf>
    <xf numFmtId="0" fontId="34" fillId="0" borderId="0" xfId="0" applyFont="1" applyBorder="1" applyAlignment="1" applyProtection="1">
      <alignment horizontal="right"/>
      <protection hidden="1"/>
    </xf>
    <xf numFmtId="0" fontId="24" fillId="0" borderId="0" xfId="0" applyFont="1" applyAlignment="1">
      <alignment horizontal="center"/>
    </xf>
    <xf numFmtId="0" fontId="21" fillId="0" borderId="5" xfId="0" applyFont="1" applyBorder="1" applyAlignment="1" applyProtection="1">
      <alignment horizontal="center"/>
      <protection locked="0"/>
    </xf>
    <xf numFmtId="164" fontId="45" fillId="0" borderId="0" xfId="0" quotePrefix="1" applyNumberFormat="1" applyFont="1" applyBorder="1" applyAlignment="1" applyProtection="1">
      <alignment horizontal="center"/>
      <protection locked="0"/>
    </xf>
    <xf numFmtId="0" fontId="57" fillId="0" borderId="0" xfId="0" applyFont="1" applyProtection="1">
      <protection hidden="1"/>
    </xf>
    <xf numFmtId="164" fontId="57" fillId="0" borderId="0" xfId="0" applyNumberFormat="1" applyFont="1" applyProtection="1">
      <protection hidden="1"/>
    </xf>
    <xf numFmtId="0" fontId="39" fillId="0" borderId="0" xfId="0" applyFont="1" applyAlignment="1" applyProtection="1">
      <alignment horizontal="right"/>
      <protection hidden="1"/>
    </xf>
    <xf numFmtId="164" fontId="39" fillId="0" borderId="11" xfId="0" applyNumberFormat="1" applyFont="1" applyBorder="1" applyAlignment="1" applyProtection="1">
      <alignment horizontal="center"/>
      <protection locked="0"/>
    </xf>
    <xf numFmtId="164" fontId="58" fillId="4" borderId="3" xfId="0" applyNumberFormat="1" applyFont="1" applyFill="1" applyBorder="1" applyAlignment="1" applyProtection="1">
      <alignment horizontal="center"/>
      <protection locked="0"/>
    </xf>
    <xf numFmtId="8" fontId="39" fillId="0" borderId="4" xfId="0" applyNumberFormat="1" applyFont="1" applyBorder="1" applyAlignment="1" applyProtection="1">
      <alignment horizontal="right"/>
      <protection hidden="1"/>
    </xf>
    <xf numFmtId="0" fontId="39" fillId="0" borderId="0" xfId="0" applyFont="1" applyProtection="1">
      <protection hidden="1"/>
    </xf>
    <xf numFmtId="8" fontId="39" fillId="0" borderId="10" xfId="0" applyNumberFormat="1" applyFont="1" applyBorder="1" applyProtection="1">
      <protection locked="0"/>
    </xf>
    <xf numFmtId="0" fontId="58" fillId="0" borderId="0" xfId="0" applyFont="1" applyBorder="1" applyProtection="1">
      <protection hidden="1"/>
    </xf>
    <xf numFmtId="164" fontId="39" fillId="0" borderId="11" xfId="0" applyNumberFormat="1" applyFont="1" applyBorder="1" applyAlignment="1" applyProtection="1">
      <alignment horizontal="right"/>
      <protection locked="0"/>
    </xf>
    <xf numFmtId="164" fontId="39" fillId="0" borderId="4" xfId="0" applyNumberFormat="1" applyFont="1" applyBorder="1" applyProtection="1">
      <protection hidden="1"/>
    </xf>
    <xf numFmtId="164" fontId="39" fillId="0" borderId="17" xfId="0" applyNumberFormat="1" applyFont="1" applyBorder="1" applyAlignment="1" applyProtection="1">
      <alignment horizontal="center"/>
      <protection locked="0"/>
    </xf>
    <xf numFmtId="8" fontId="39" fillId="0" borderId="16" xfId="0" applyNumberFormat="1" applyFont="1" applyBorder="1" applyAlignment="1" applyProtection="1">
      <protection hidden="1"/>
    </xf>
    <xf numFmtId="0" fontId="33" fillId="0" borderId="0" xfId="0" applyFont="1" applyAlignment="1" applyProtection="1">
      <protection hidden="1"/>
    </xf>
    <xf numFmtId="0" fontId="40" fillId="0" borderId="0" xfId="0" applyNumberFormat="1" applyFont="1" applyFill="1" applyAlignment="1" applyProtection="1">
      <alignment horizontal="center"/>
      <protection hidden="1"/>
    </xf>
    <xf numFmtId="0" fontId="10" fillId="0" borderId="0" xfId="0" applyNumberFormat="1" applyFont="1" applyFill="1" applyAlignment="1" applyProtection="1">
      <protection hidden="1"/>
    </xf>
    <xf numFmtId="164" fontId="42" fillId="0" borderId="0" xfId="0" applyNumberFormat="1" applyFont="1" applyBorder="1" applyAlignment="1" applyProtection="1">
      <alignment horizontal="center"/>
      <protection hidden="1"/>
    </xf>
    <xf numFmtId="8" fontId="45" fillId="0" borderId="16" xfId="0" applyNumberFormat="1" applyFont="1" applyBorder="1" applyAlignment="1" applyProtection="1">
      <protection hidden="1"/>
    </xf>
    <xf numFmtId="0" fontId="40" fillId="0" borderId="0" xfId="0" applyFont="1" applyFill="1" applyBorder="1" applyAlignment="1" applyProtection="1">
      <protection hidden="1"/>
    </xf>
    <xf numFmtId="164" fontId="36" fillId="0" borderId="5" xfId="0" applyNumberFormat="1" applyFont="1" applyBorder="1" applyAlignment="1" applyProtection="1">
      <alignment horizontal="right"/>
      <protection locked="0"/>
    </xf>
    <xf numFmtId="0" fontId="9" fillId="0" borderId="0" xfId="0" applyFont="1" applyBorder="1" applyAlignment="1" applyProtection="1">
      <protection hidden="1"/>
    </xf>
    <xf numFmtId="0" fontId="4" fillId="0" borderId="2" xfId="0" applyFont="1" applyBorder="1" applyAlignment="1" applyProtection="1">
      <protection hidden="1"/>
    </xf>
    <xf numFmtId="0" fontId="33" fillId="0" borderId="2" xfId="0" quotePrefix="1" applyFont="1" applyBorder="1" applyAlignment="1" applyProtection="1">
      <protection hidden="1"/>
    </xf>
    <xf numFmtId="0" fontId="0" fillId="0" borderId="0" xfId="0" applyProtection="1">
      <protection hidden="1"/>
    </xf>
    <xf numFmtId="1" fontId="21" fillId="0" borderId="1" xfId="0" applyNumberFormat="1" applyFont="1" applyBorder="1" applyAlignment="1" applyProtection="1">
      <alignment horizontal="center"/>
      <protection hidden="1"/>
    </xf>
    <xf numFmtId="0" fontId="0" fillId="0" borderId="0" xfId="0" applyProtection="1">
      <protection hidden="1"/>
    </xf>
    <xf numFmtId="0" fontId="9" fillId="0" borderId="0" xfId="0" applyFont="1" applyAlignment="1" applyProtection="1">
      <alignment horizontal="center"/>
      <protection hidden="1"/>
    </xf>
    <xf numFmtId="165" fontId="7" fillId="0" borderId="10" xfId="0" applyNumberFormat="1" applyFont="1" applyBorder="1" applyAlignment="1" applyProtection="1">
      <alignment horizontal="center"/>
      <protection locked="0"/>
    </xf>
    <xf numFmtId="0" fontId="10" fillId="0" borderId="0" xfId="0" applyNumberFormat="1" applyFont="1" applyFill="1" applyBorder="1" applyAlignment="1" applyProtection="1">
      <protection hidden="1"/>
    </xf>
    <xf numFmtId="8" fontId="9" fillId="0" borderId="10" xfId="0" applyNumberFormat="1" applyFont="1" applyBorder="1" applyProtection="1">
      <protection locked="0"/>
    </xf>
    <xf numFmtId="0" fontId="0" fillId="2" borderId="8" xfId="0" applyFill="1" applyBorder="1"/>
    <xf numFmtId="0" fontId="0" fillId="2" borderId="8" xfId="0" applyNumberFormat="1" applyFill="1" applyBorder="1"/>
    <xf numFmtId="2" fontId="0" fillId="2" borderId="8" xfId="0" applyNumberFormat="1" applyFill="1" applyBorder="1"/>
    <xf numFmtId="4" fontId="0" fillId="2" borderId="8" xfId="0" applyNumberFormat="1" applyFill="1" applyBorder="1"/>
    <xf numFmtId="0" fontId="0" fillId="0" borderId="8" xfId="0" applyFill="1" applyBorder="1"/>
    <xf numFmtId="0" fontId="0" fillId="5" borderId="8" xfId="0" applyFill="1" applyBorder="1"/>
    <xf numFmtId="0" fontId="4" fillId="5" borderId="8" xfId="0" applyNumberFormat="1" applyFont="1" applyFill="1" applyBorder="1"/>
    <xf numFmtId="0" fontId="4" fillId="2" borderId="8" xfId="0" applyFont="1" applyFill="1" applyBorder="1"/>
    <xf numFmtId="0" fontId="0" fillId="0" borderId="0" xfId="0" applyProtection="1">
      <protection hidden="1"/>
    </xf>
    <xf numFmtId="0" fontId="51" fillId="0" borderId="0" xfId="0" applyFont="1"/>
    <xf numFmtId="0" fontId="4" fillId="0" borderId="0" xfId="0" applyFont="1" applyBorder="1" applyAlignment="1" applyProtection="1">
      <alignment horizontal="left"/>
      <protection hidden="1"/>
    </xf>
    <xf numFmtId="14" fontId="4" fillId="0" borderId="0" xfId="0" applyNumberFormat="1" applyFont="1" applyBorder="1" applyAlignment="1" applyProtection="1">
      <alignment horizontal="center"/>
      <protection hidden="1"/>
    </xf>
    <xf numFmtId="20" fontId="33" fillId="0" borderId="0" xfId="0" applyNumberFormat="1" applyFont="1" applyBorder="1" applyAlignment="1" applyProtection="1">
      <alignment horizontal="center"/>
      <protection hidden="1"/>
    </xf>
    <xf numFmtId="0" fontId="21" fillId="0" borderId="0" xfId="0" applyFont="1" applyBorder="1" applyAlignment="1" applyProtection="1">
      <alignment horizontal="right"/>
      <protection hidden="1"/>
    </xf>
    <xf numFmtId="164" fontId="45" fillId="4" borderId="6" xfId="0" applyNumberFormat="1" applyFont="1" applyFill="1" applyBorder="1" applyAlignment="1" applyProtection="1">
      <alignment horizontal="center"/>
      <protection locked="0"/>
    </xf>
    <xf numFmtId="165" fontId="0" fillId="0" borderId="5" xfId="0" applyNumberFormat="1" applyBorder="1" applyAlignment="1" applyProtection="1">
      <alignment horizontal="center"/>
      <protection hidden="1"/>
    </xf>
    <xf numFmtId="0" fontId="21" fillId="0" borderId="13" xfId="0" applyFont="1" applyBorder="1" applyAlignment="1" applyProtection="1">
      <protection hidden="1"/>
    </xf>
    <xf numFmtId="0" fontId="9" fillId="0" borderId="0" xfId="0" applyFont="1" applyBorder="1" applyAlignment="1" applyProtection="1">
      <alignment horizontal="right"/>
      <protection hidden="1"/>
    </xf>
    <xf numFmtId="0" fontId="9" fillId="0" borderId="2" xfId="0" applyFont="1" applyBorder="1" applyAlignment="1">
      <alignment horizontal="right"/>
    </xf>
    <xf numFmtId="0" fontId="9" fillId="0" borderId="2" xfId="0" applyFont="1" applyBorder="1" applyAlignment="1" applyProtection="1">
      <alignment horizontal="right"/>
      <protection hidden="1"/>
    </xf>
    <xf numFmtId="0" fontId="21" fillId="0" borderId="0" xfId="0" applyFont="1" applyAlignment="1" applyProtection="1">
      <alignment horizontal="left"/>
      <protection hidden="1"/>
    </xf>
    <xf numFmtId="0" fontId="0" fillId="0" borderId="0" xfId="0" applyProtection="1">
      <protection hidden="1"/>
    </xf>
    <xf numFmtId="0" fontId="9" fillId="0" borderId="1" xfId="0" applyFont="1" applyBorder="1" applyAlignment="1" applyProtection="1">
      <alignment horizontal="center"/>
      <protection hidden="1"/>
    </xf>
    <xf numFmtId="0" fontId="63" fillId="0" borderId="0" xfId="0" applyFont="1" applyAlignment="1">
      <alignment horizontal="left" vertical="center" indent="4"/>
    </xf>
    <xf numFmtId="0" fontId="63" fillId="0" borderId="0" xfId="0" applyFont="1" applyAlignment="1">
      <alignment vertical="center"/>
    </xf>
    <xf numFmtId="0" fontId="4" fillId="0" borderId="0" xfId="0" applyFont="1" applyAlignment="1">
      <alignment horizontal="left" vertical="center"/>
    </xf>
    <xf numFmtId="0" fontId="40" fillId="0" borderId="0" xfId="0" applyFont="1" applyFill="1" applyAlignment="1" applyProtection="1">
      <alignment horizontal="center"/>
      <protection hidden="1"/>
    </xf>
    <xf numFmtId="0" fontId="9" fillId="0" borderId="0" xfId="0" applyFont="1" applyFill="1" applyAlignment="1" applyProtection="1">
      <alignment horizontal="center" vertical="center"/>
      <protection hidden="1"/>
    </xf>
    <xf numFmtId="0" fontId="9" fillId="3" borderId="0" xfId="0" applyFont="1" applyFill="1" applyAlignment="1" applyProtection="1">
      <alignment horizontal="center"/>
      <protection locked="0"/>
    </xf>
    <xf numFmtId="0" fontId="0" fillId="0" borderId="0" xfId="0" applyAlignment="1" applyProtection="1">
      <alignment horizontal="left"/>
      <protection hidden="1"/>
    </xf>
    <xf numFmtId="0" fontId="0" fillId="0" borderId="0" xfId="0" applyProtection="1">
      <protection hidden="1"/>
    </xf>
    <xf numFmtId="8" fontId="9" fillId="0" borderId="5" xfId="0" applyNumberFormat="1" applyFont="1" applyBorder="1" applyProtection="1">
      <protection locked="0"/>
    </xf>
    <xf numFmtId="164" fontId="9" fillId="0" borderId="14" xfId="0" applyNumberFormat="1" applyFont="1" applyBorder="1" applyProtection="1">
      <protection locked="0"/>
    </xf>
    <xf numFmtId="8" fontId="9" fillId="0" borderId="18" xfId="0" applyNumberFormat="1" applyFont="1" applyBorder="1" applyProtection="1">
      <protection hidden="1"/>
    </xf>
    <xf numFmtId="0" fontId="61" fillId="2" borderId="8" xfId="0" applyFont="1" applyFill="1" applyBorder="1"/>
    <xf numFmtId="0" fontId="61" fillId="5" borderId="8" xfId="0" applyFont="1" applyFill="1" applyBorder="1"/>
    <xf numFmtId="8" fontId="12" fillId="0" borderId="0" xfId="0" applyNumberFormat="1" applyFont="1" applyBorder="1" applyProtection="1">
      <protection hidden="1"/>
    </xf>
    <xf numFmtId="0" fontId="33" fillId="0" borderId="0" xfId="0" applyFont="1"/>
    <xf numFmtId="20" fontId="9" fillId="0" borderId="0" xfId="0" applyNumberFormat="1" applyFont="1" applyBorder="1" applyAlignment="1" applyProtection="1">
      <alignment horizontal="center"/>
      <protection hidden="1"/>
    </xf>
    <xf numFmtId="14" fontId="21" fillId="0" borderId="0" xfId="0" applyNumberFormat="1" applyFont="1" applyBorder="1" applyAlignment="1" applyProtection="1">
      <alignment horizontal="center"/>
      <protection hidden="1"/>
    </xf>
    <xf numFmtId="0" fontId="36" fillId="0" borderId="0" xfId="0" applyFont="1" applyBorder="1" applyAlignment="1" applyProtection="1">
      <protection hidden="1"/>
    </xf>
    <xf numFmtId="0" fontId="36" fillId="0" borderId="0" xfId="0" applyFont="1" applyBorder="1" applyAlignment="1" applyProtection="1">
      <alignment horizontal="left"/>
      <protection hidden="1"/>
    </xf>
    <xf numFmtId="164" fontId="39" fillId="0" borderId="0" xfId="0" applyNumberFormat="1" applyFont="1" applyBorder="1" applyAlignment="1" applyProtection="1">
      <alignment horizontal="right"/>
      <protection hidden="1"/>
    </xf>
    <xf numFmtId="164" fontId="39" fillId="0" borderId="0" xfId="0" applyNumberFormat="1" applyFont="1" applyBorder="1" applyProtection="1">
      <protection hidden="1"/>
    </xf>
    <xf numFmtId="164" fontId="9" fillId="0" borderId="0" xfId="1" applyNumberFormat="1" applyFont="1" applyBorder="1" applyAlignment="1" applyProtection="1">
      <protection hidden="1"/>
    </xf>
    <xf numFmtId="0" fontId="33" fillId="0" borderId="0" xfId="0" applyFont="1" applyAlignment="1">
      <alignment horizontal="left"/>
    </xf>
    <xf numFmtId="164" fontId="39" fillId="4" borderId="6" xfId="0" applyNumberFormat="1" applyFont="1" applyFill="1" applyBorder="1" applyAlignment="1" applyProtection="1">
      <alignment horizontal="center"/>
      <protection locked="0"/>
    </xf>
    <xf numFmtId="20" fontId="9" fillId="0" borderId="0" xfId="0" applyNumberFormat="1" applyFont="1" applyBorder="1" applyAlignment="1" applyProtection="1">
      <protection hidden="1"/>
    </xf>
    <xf numFmtId="14" fontId="9" fillId="0" borderId="0" xfId="0" applyNumberFormat="1" applyFont="1" applyBorder="1" applyAlignment="1" applyProtection="1">
      <alignment horizontal="center"/>
      <protection hidden="1"/>
    </xf>
    <xf numFmtId="164" fontId="39" fillId="0" borderId="0" xfId="0" applyNumberFormat="1" applyFont="1" applyBorder="1" applyAlignment="1" applyProtection="1">
      <protection hidden="1"/>
    </xf>
    <xf numFmtId="0" fontId="0" fillId="0" borderId="0" xfId="0" applyAlignment="1"/>
    <xf numFmtId="0" fontId="0" fillId="0" borderId="0" xfId="0" applyFill="1" applyProtection="1">
      <protection hidden="1"/>
    </xf>
    <xf numFmtId="0" fontId="66" fillId="0" borderId="0" xfId="0" applyFont="1" applyFill="1" applyProtection="1">
      <protection hidden="1"/>
    </xf>
    <xf numFmtId="0" fontId="8" fillId="0" borderId="0" xfId="0" applyFont="1" applyFill="1" applyAlignment="1" applyProtection="1">
      <protection hidden="1"/>
    </xf>
    <xf numFmtId="170" fontId="7" fillId="0" borderId="5" xfId="0" applyNumberFormat="1" applyFont="1" applyBorder="1" applyAlignment="1" applyProtection="1">
      <alignment horizontal="center"/>
      <protection hidden="1"/>
    </xf>
    <xf numFmtId="170" fontId="0" fillId="0" borderId="5" xfId="0" applyNumberFormat="1" applyBorder="1" applyAlignment="1" applyProtection="1">
      <alignment horizontal="center"/>
      <protection hidden="1"/>
    </xf>
    <xf numFmtId="14" fontId="33" fillId="0" borderId="0" xfId="0" applyNumberFormat="1" applyFont="1" applyBorder="1" applyAlignment="1" applyProtection="1">
      <alignment horizontal="center"/>
      <protection hidden="1"/>
    </xf>
    <xf numFmtId="0" fontId="9" fillId="0" borderId="0" xfId="0" applyNumberFormat="1" applyFont="1" applyFill="1" applyBorder="1" applyAlignment="1" applyProtection="1">
      <alignment horizontal="center"/>
      <protection hidden="1"/>
    </xf>
    <xf numFmtId="14" fontId="7" fillId="0" borderId="22" xfId="0" applyNumberFormat="1" applyFont="1" applyBorder="1" applyAlignment="1" applyProtection="1">
      <alignment horizontal="center"/>
      <protection locked="0"/>
    </xf>
    <xf numFmtId="14" fontId="4" fillId="0" borderId="22" xfId="0" applyNumberFormat="1" applyFont="1" applyBorder="1" applyAlignment="1" applyProtection="1">
      <alignment horizontal="center"/>
      <protection locked="0"/>
    </xf>
    <xf numFmtId="0" fontId="4" fillId="0" borderId="0" xfId="0" applyFont="1" applyAlignment="1"/>
    <xf numFmtId="0" fontId="4" fillId="0" borderId="0" xfId="0" applyFont="1" applyAlignment="1">
      <alignment horizontal="right"/>
    </xf>
    <xf numFmtId="14" fontId="21" fillId="0" borderId="0" xfId="0" applyNumberFormat="1" applyFont="1" applyBorder="1" applyAlignment="1" applyProtection="1">
      <alignment horizontal="right"/>
      <protection hidden="1"/>
    </xf>
    <xf numFmtId="0" fontId="0" fillId="0" borderId="0" xfId="0" applyBorder="1" applyAlignment="1" applyProtection="1">
      <alignment horizontal="left"/>
      <protection locked="0"/>
    </xf>
    <xf numFmtId="0" fontId="0" fillId="0" borderId="10" xfId="0" applyBorder="1" applyAlignment="1" applyProtection="1">
      <alignment horizontal="left"/>
      <protection locked="0"/>
    </xf>
    <xf numFmtId="0" fontId="71" fillId="0" borderId="0" xfId="0" applyFont="1"/>
    <xf numFmtId="0" fontId="66" fillId="0" borderId="0" xfId="0" applyFont="1" applyFill="1"/>
    <xf numFmtId="0" fontId="66" fillId="0" borderId="0" xfId="0" applyFont="1" applyFill="1" applyAlignment="1" applyProtection="1">
      <protection hidden="1"/>
    </xf>
    <xf numFmtId="0" fontId="66" fillId="0" borderId="0" xfId="0" applyFont="1" applyFill="1" applyBorder="1"/>
    <xf numFmtId="1" fontId="66" fillId="0" borderId="0" xfId="0" applyNumberFormat="1" applyFont="1" applyFill="1" applyBorder="1"/>
    <xf numFmtId="0" fontId="66" fillId="0" borderId="0" xfId="0" applyNumberFormat="1" applyFont="1" applyFill="1" applyBorder="1"/>
    <xf numFmtId="0" fontId="0" fillId="0" borderId="0" xfId="0" applyProtection="1">
      <protection hidden="1"/>
    </xf>
    <xf numFmtId="0" fontId="0" fillId="0" borderId="0" xfId="0" applyProtection="1">
      <protection hidden="1"/>
    </xf>
    <xf numFmtId="0" fontId="77" fillId="0" borderId="0" xfId="0" applyFont="1" applyAlignment="1" applyProtection="1">
      <protection hidden="1"/>
    </xf>
    <xf numFmtId="0" fontId="76" fillId="0" borderId="0" xfId="0" applyFont="1"/>
    <xf numFmtId="0" fontId="74" fillId="0" borderId="0" xfId="0" applyFont="1" applyBorder="1" applyAlignment="1" applyProtection="1">
      <alignment horizontal="left"/>
      <protection hidden="1"/>
    </xf>
    <xf numFmtId="0" fontId="74" fillId="0" borderId="0" xfId="0" applyFont="1" applyBorder="1" applyAlignment="1" applyProtection="1">
      <protection hidden="1"/>
    </xf>
    <xf numFmtId="0" fontId="3" fillId="0" borderId="0" xfId="2" applyProtection="1">
      <protection hidden="1"/>
    </xf>
    <xf numFmtId="164" fontId="3" fillId="0" borderId="0" xfId="2" applyNumberFormat="1" applyProtection="1">
      <protection hidden="1"/>
    </xf>
    <xf numFmtId="0" fontId="84" fillId="0" borderId="0" xfId="2" applyFont="1" applyProtection="1">
      <protection hidden="1"/>
    </xf>
    <xf numFmtId="0" fontId="83" fillId="0" borderId="0" xfId="2" applyFont="1" applyProtection="1">
      <protection hidden="1"/>
    </xf>
    <xf numFmtId="8" fontId="84" fillId="0" borderId="8" xfId="2" applyNumberFormat="1" applyFont="1" applyBorder="1" applyProtection="1">
      <protection hidden="1"/>
    </xf>
    <xf numFmtId="164" fontId="81" fillId="0" borderId="8" xfId="2" applyNumberFormat="1" applyFont="1" applyBorder="1" applyProtection="1">
      <protection hidden="1"/>
    </xf>
    <xf numFmtId="0" fontId="59" fillId="0" borderId="0" xfId="0" applyFont="1" applyFill="1" applyBorder="1" applyAlignment="1" applyProtection="1">
      <alignment horizontal="center"/>
      <protection hidden="1"/>
    </xf>
    <xf numFmtId="0" fontId="39" fillId="0" borderId="23" xfId="0" applyNumberFormat="1" applyFont="1" applyBorder="1" applyAlignment="1" applyProtection="1">
      <alignment horizontal="center"/>
      <protection locked="0"/>
    </xf>
    <xf numFmtId="0" fontId="4" fillId="0" borderId="0" xfId="0" applyFont="1" applyAlignment="1" applyProtection="1">
      <protection hidden="1"/>
    </xf>
    <xf numFmtId="0" fontId="86" fillId="0" borderId="0" xfId="0" applyFont="1" applyBorder="1" applyAlignment="1" applyProtection="1">
      <alignment horizontal="right"/>
      <protection hidden="1"/>
    </xf>
    <xf numFmtId="0" fontId="66" fillId="0" borderId="0" xfId="0" applyFont="1" applyAlignment="1" applyProtection="1">
      <protection hidden="1"/>
    </xf>
    <xf numFmtId="0" fontId="66" fillId="0" borderId="0" xfId="0" applyFont="1"/>
    <xf numFmtId="8" fontId="42" fillId="0" borderId="0" xfId="0" applyNumberFormat="1" applyFont="1" applyBorder="1" applyAlignment="1" applyProtection="1">
      <protection locked="0"/>
    </xf>
    <xf numFmtId="164" fontId="3" fillId="4" borderId="3" xfId="2" applyNumberFormat="1" applyFill="1" applyBorder="1" applyProtection="1">
      <protection locked="0"/>
    </xf>
    <xf numFmtId="164" fontId="3" fillId="4" borderId="1" xfId="2" applyNumberFormat="1" applyFill="1" applyBorder="1" applyProtection="1">
      <protection locked="0"/>
    </xf>
    <xf numFmtId="0" fontId="45" fillId="0" borderId="0" xfId="0" applyNumberFormat="1" applyFont="1" applyFill="1" applyAlignment="1" applyProtection="1">
      <alignment horizontal="center"/>
      <protection locked="0"/>
    </xf>
    <xf numFmtId="0" fontId="86" fillId="0" borderId="0" xfId="0" applyFont="1" applyAlignment="1" applyProtection="1">
      <alignment horizontal="right"/>
      <protection hidden="1"/>
    </xf>
    <xf numFmtId="0" fontId="66" fillId="0" borderId="0" xfId="0" applyFont="1" applyFill="1" applyBorder="1" applyAlignment="1" applyProtection="1">
      <protection hidden="1"/>
    </xf>
    <xf numFmtId="164" fontId="66" fillId="0" borderId="0" xfId="0" applyNumberFormat="1" applyFont="1" applyFill="1" applyBorder="1" applyAlignment="1" applyProtection="1">
      <protection hidden="1"/>
    </xf>
    <xf numFmtId="8" fontId="66" fillId="0" borderId="0" xfId="0" applyNumberFormat="1" applyFont="1" applyFill="1" applyBorder="1" applyAlignment="1" applyProtection="1">
      <protection hidden="1"/>
    </xf>
    <xf numFmtId="170" fontId="66" fillId="0" borderId="0" xfId="0" applyNumberFormat="1" applyFont="1" applyFill="1" applyBorder="1" applyAlignment="1" applyProtection="1">
      <protection hidden="1"/>
    </xf>
    <xf numFmtId="0" fontId="21" fillId="0" borderId="0" xfId="0" quotePrefix="1" applyFont="1" applyAlignment="1" applyProtection="1">
      <protection hidden="1"/>
    </xf>
    <xf numFmtId="0" fontId="21" fillId="0" borderId="0" xfId="1" applyFont="1" applyAlignment="1" applyProtection="1">
      <alignment horizontal="right"/>
      <protection hidden="1"/>
    </xf>
    <xf numFmtId="0" fontId="4" fillId="0" borderId="0" xfId="0" applyFont="1" applyFill="1"/>
    <xf numFmtId="0" fontId="4" fillId="0" borderId="0" xfId="0" applyFont="1" applyFill="1" applyBorder="1"/>
    <xf numFmtId="0" fontId="4" fillId="0" borderId="0" xfId="0" applyFont="1" applyFill="1" applyBorder="1" applyAlignment="1" applyProtection="1">
      <protection hidden="1"/>
    </xf>
    <xf numFmtId="0" fontId="4" fillId="0" borderId="0" xfId="0" applyFont="1" applyFill="1" applyBorder="1" applyAlignment="1">
      <alignment horizontal="center"/>
    </xf>
    <xf numFmtId="164" fontId="4" fillId="0" borderId="0" xfId="0" applyNumberFormat="1" applyFont="1" applyFill="1" applyBorder="1"/>
    <xf numFmtId="14" fontId="4" fillId="0" borderId="0" xfId="0" applyNumberFormat="1" applyFont="1" applyFill="1" applyBorder="1" applyAlignment="1">
      <alignment horizontal="center"/>
    </xf>
    <xf numFmtId="168" fontId="4" fillId="0" borderId="0" xfId="0" applyNumberFormat="1" applyFont="1" applyFill="1" applyBorder="1" applyProtection="1">
      <protection hidden="1"/>
    </xf>
    <xf numFmtId="20" fontId="4" fillId="0" borderId="0" xfId="0" applyNumberFormat="1" applyFont="1" applyFill="1" applyBorder="1" applyAlignment="1">
      <alignment horizontal="center"/>
    </xf>
    <xf numFmtId="0" fontId="4" fillId="0" borderId="0" xfId="0" applyNumberFormat="1" applyFont="1" applyFill="1" applyBorder="1" applyAlignment="1">
      <alignment horizontal="right"/>
    </xf>
    <xf numFmtId="8" fontId="4" fillId="0" borderId="0" xfId="0" applyNumberFormat="1" applyFont="1" applyFill="1" applyBorder="1" applyAlignment="1">
      <alignment horizontal="left"/>
    </xf>
    <xf numFmtId="8" fontId="4" fillId="0" borderId="0" xfId="0" applyNumberFormat="1" applyFont="1" applyFill="1" applyBorder="1"/>
    <xf numFmtId="0" fontId="4" fillId="0" borderId="0" xfId="0" applyFont="1" applyFill="1" applyBorder="1" applyAlignment="1">
      <alignment horizontal="right"/>
    </xf>
    <xf numFmtId="0" fontId="89" fillId="0" borderId="0" xfId="0" applyFont="1" applyFill="1" applyBorder="1" applyAlignment="1">
      <alignment vertical="center"/>
    </xf>
    <xf numFmtId="0" fontId="4" fillId="0" borderId="0" xfId="0" applyNumberFormat="1" applyFont="1" applyFill="1" applyBorder="1"/>
    <xf numFmtId="20" fontId="4" fillId="0" borderId="0" xfId="0" applyNumberFormat="1" applyFont="1" applyFill="1" applyBorder="1"/>
    <xf numFmtId="0" fontId="4" fillId="0" borderId="0" xfId="0" applyFont="1" applyFill="1" applyBorder="1" applyProtection="1">
      <protection hidden="1"/>
    </xf>
    <xf numFmtId="0" fontId="21" fillId="0" borderId="0" xfId="1" applyFont="1" applyAlignment="1" applyProtection="1">
      <protection hidden="1"/>
    </xf>
    <xf numFmtId="0" fontId="21" fillId="0" borderId="0" xfId="0" applyFont="1" applyAlignment="1" applyProtection="1">
      <alignment horizontal="right"/>
      <protection hidden="1"/>
    </xf>
    <xf numFmtId="0" fontId="4" fillId="0" borderId="0" xfId="0" applyFont="1" applyFill="1" applyProtection="1">
      <protection hidden="1"/>
    </xf>
    <xf numFmtId="0" fontId="92" fillId="0" borderId="0" xfId="0" applyFont="1" applyFill="1" applyAlignment="1">
      <alignment vertical="center"/>
    </xf>
    <xf numFmtId="0" fontId="92" fillId="0" borderId="0" xfId="0" applyFont="1" applyFill="1" applyAlignment="1">
      <alignment vertical="center" wrapText="1"/>
    </xf>
    <xf numFmtId="0" fontId="93" fillId="0" borderId="0" xfId="0" applyFont="1" applyFill="1" applyAlignment="1">
      <alignment vertical="center" wrapText="1"/>
    </xf>
    <xf numFmtId="0" fontId="95" fillId="0" borderId="8" xfId="0" applyFont="1" applyFill="1" applyBorder="1" applyAlignment="1" applyProtection="1">
      <alignment horizontal="center" vertical="top" wrapText="1"/>
      <protection hidden="1"/>
    </xf>
    <xf numFmtId="0" fontId="95" fillId="0" borderId="8" xfId="0" applyNumberFormat="1" applyFont="1" applyFill="1" applyBorder="1" applyAlignment="1" applyProtection="1">
      <alignment horizontal="center" vertical="top" wrapText="1"/>
      <protection hidden="1"/>
    </xf>
    <xf numFmtId="0" fontId="95" fillId="0" borderId="8" xfId="0" applyFont="1" applyFill="1" applyBorder="1" applyAlignment="1" applyProtection="1">
      <alignment vertical="top" wrapText="1"/>
      <protection hidden="1"/>
    </xf>
    <xf numFmtId="165" fontId="95" fillId="0" borderId="8" xfId="0" applyNumberFormat="1" applyFont="1" applyFill="1" applyBorder="1" applyAlignment="1" applyProtection="1">
      <alignment vertical="top" wrapText="1"/>
      <protection hidden="1"/>
    </xf>
    <xf numFmtId="170" fontId="95" fillId="0" borderId="8" xfId="0" applyNumberFormat="1" applyFont="1" applyFill="1" applyBorder="1" applyAlignment="1" applyProtection="1">
      <alignment horizontal="left" vertical="top" wrapText="1"/>
      <protection hidden="1"/>
    </xf>
    <xf numFmtId="164" fontId="95" fillId="0" borderId="8" xfId="0" applyNumberFormat="1" applyFont="1" applyFill="1" applyBorder="1" applyAlignment="1" applyProtection="1">
      <alignment horizontal="left" vertical="top" wrapText="1"/>
      <protection hidden="1"/>
    </xf>
    <xf numFmtId="4" fontId="95" fillId="0" borderId="8" xfId="0" applyNumberFormat="1" applyFont="1" applyFill="1" applyBorder="1" applyAlignment="1" applyProtection="1">
      <alignment horizontal="center" vertical="top" wrapText="1"/>
      <protection hidden="1"/>
    </xf>
    <xf numFmtId="169" fontId="95" fillId="0" borderId="8" xfId="0" applyNumberFormat="1" applyFont="1" applyFill="1" applyBorder="1" applyAlignment="1" applyProtection="1">
      <alignment horizontal="left" vertical="top" wrapText="1"/>
      <protection hidden="1"/>
    </xf>
    <xf numFmtId="8" fontId="95" fillId="0" borderId="8" xfId="0" applyNumberFormat="1" applyFont="1" applyFill="1" applyBorder="1" applyAlignment="1" applyProtection="1">
      <alignment horizontal="center" vertical="top" wrapText="1"/>
      <protection hidden="1"/>
    </xf>
    <xf numFmtId="0" fontId="95" fillId="0" borderId="8" xfId="0" applyFont="1" applyFill="1" applyBorder="1" applyAlignment="1">
      <alignment horizontal="center" vertical="top" wrapText="1"/>
    </xf>
    <xf numFmtId="8" fontId="8" fillId="0" borderId="0" xfId="0" applyNumberFormat="1" applyFont="1" applyFill="1" applyAlignment="1">
      <alignment horizontal="center" vertical="top"/>
    </xf>
    <xf numFmtId="0" fontId="8" fillId="0" borderId="8" xfId="0" applyFont="1" applyFill="1" applyBorder="1" applyAlignment="1">
      <alignment vertical="top" wrapText="1"/>
    </xf>
    <xf numFmtId="0" fontId="8" fillId="0" borderId="0" xfId="0" applyFont="1" applyFill="1"/>
    <xf numFmtId="0" fontId="89" fillId="0" borderId="8" xfId="0" applyFont="1" applyFill="1" applyBorder="1" applyAlignment="1">
      <alignment vertical="center"/>
    </xf>
    <xf numFmtId="0" fontId="96" fillId="0" borderId="8" xfId="0" applyFont="1" applyFill="1" applyBorder="1" applyAlignment="1">
      <alignment vertical="center" wrapText="1"/>
    </xf>
    <xf numFmtId="4" fontId="96" fillId="0" borderId="8" xfId="0" applyNumberFormat="1" applyFont="1" applyFill="1" applyBorder="1" applyAlignment="1">
      <alignment vertical="center" wrapText="1"/>
    </xf>
    <xf numFmtId="4" fontId="97" fillId="0" borderId="8" xfId="0" applyNumberFormat="1" applyFont="1" applyFill="1" applyBorder="1" applyAlignment="1">
      <alignment horizontal="right" vertical="center" wrapText="1"/>
    </xf>
    <xf numFmtId="4" fontId="89" fillId="0" borderId="8" xfId="0" applyNumberFormat="1" applyFont="1" applyFill="1" applyBorder="1" applyAlignment="1">
      <alignment vertical="center"/>
    </xf>
    <xf numFmtId="0" fontId="4" fillId="0" borderId="0" xfId="0" applyFont="1" applyFill="1" applyBorder="1" applyAlignment="1">
      <alignment horizontal="center"/>
    </xf>
    <xf numFmtId="0" fontId="4" fillId="0" borderId="0" xfId="0" applyFont="1" applyFill="1" applyBorder="1" applyAlignment="1">
      <alignment horizontal="left"/>
    </xf>
    <xf numFmtId="0" fontId="21" fillId="0" borderId="8" xfId="0" applyFont="1" applyBorder="1" applyAlignment="1">
      <alignment horizontal="center"/>
    </xf>
    <xf numFmtId="0" fontId="21" fillId="0" borderId="0" xfId="0" applyFont="1" applyAlignment="1">
      <alignment horizontal="center"/>
    </xf>
    <xf numFmtId="0" fontId="4" fillId="0" borderId="0" xfId="0" applyFont="1" applyAlignment="1">
      <alignment horizontal="left"/>
    </xf>
    <xf numFmtId="170" fontId="4" fillId="0" borderId="0" xfId="0" applyNumberFormat="1" applyFont="1" applyFill="1" applyBorder="1"/>
    <xf numFmtId="0" fontId="4" fillId="0" borderId="0" xfId="0" applyFont="1" applyFill="1" applyBorder="1" applyAlignment="1"/>
    <xf numFmtId="0" fontId="98" fillId="0" borderId="0" xfId="0" applyFont="1" applyFill="1" applyBorder="1"/>
    <xf numFmtId="164" fontId="4" fillId="0" borderId="8" xfId="0" applyNumberFormat="1" applyFont="1" applyFill="1" applyBorder="1"/>
    <xf numFmtId="0" fontId="4" fillId="0" borderId="8" xfId="0" applyFont="1" applyFill="1" applyBorder="1"/>
    <xf numFmtId="164" fontId="4" fillId="0" borderId="8" xfId="0" applyNumberFormat="1" applyFont="1" applyFill="1" applyBorder="1" applyAlignment="1" applyProtection="1">
      <protection hidden="1"/>
    </xf>
    <xf numFmtId="0" fontId="4" fillId="0" borderId="8" xfId="0" applyFont="1" applyFill="1" applyBorder="1" applyAlignment="1" applyProtection="1">
      <protection hidden="1"/>
    </xf>
    <xf numFmtId="0" fontId="76" fillId="0" borderId="0" xfId="0" applyFont="1" applyFill="1" applyBorder="1" applyAlignment="1" applyProtection="1">
      <protection hidden="1"/>
    </xf>
    <xf numFmtId="0" fontId="76" fillId="0" borderId="8" xfId="0" applyFont="1" applyFill="1" applyBorder="1" applyAlignment="1" applyProtection="1">
      <protection hidden="1"/>
    </xf>
    <xf numFmtId="164" fontId="76" fillId="0" borderId="8" xfId="0" applyNumberFormat="1" applyFont="1" applyFill="1" applyBorder="1"/>
    <xf numFmtId="164" fontId="76" fillId="0" borderId="8" xfId="0" applyNumberFormat="1" applyFont="1" applyFill="1" applyBorder="1" applyAlignment="1" applyProtection="1">
      <protection hidden="1"/>
    </xf>
    <xf numFmtId="0" fontId="76" fillId="0" borderId="0" xfId="0" applyFont="1" applyFill="1" applyAlignment="1" applyProtection="1">
      <protection hidden="1"/>
    </xf>
    <xf numFmtId="0" fontId="76" fillId="0" borderId="0" xfId="0" applyFont="1" applyAlignment="1" applyProtection="1">
      <protection hidden="1"/>
    </xf>
    <xf numFmtId="8" fontId="4" fillId="0" borderId="0" xfId="0" applyNumberFormat="1" applyFont="1" applyFill="1" applyBorder="1" applyAlignment="1" applyProtection="1">
      <protection hidden="1"/>
    </xf>
    <xf numFmtId="1" fontId="4" fillId="0" borderId="0" xfId="0" applyNumberFormat="1" applyFont="1" applyFill="1" applyBorder="1" applyAlignment="1" applyProtection="1">
      <protection hidden="1"/>
    </xf>
    <xf numFmtId="8" fontId="4" fillId="0" borderId="8" xfId="0" applyNumberFormat="1" applyFont="1" applyFill="1" applyBorder="1" applyAlignment="1" applyProtection="1">
      <protection hidden="1"/>
    </xf>
    <xf numFmtId="1" fontId="4" fillId="0" borderId="8" xfId="0" applyNumberFormat="1" applyFont="1" applyFill="1" applyBorder="1" applyAlignment="1" applyProtection="1">
      <protection hidden="1"/>
    </xf>
    <xf numFmtId="0" fontId="99" fillId="0" borderId="0" xfId="0" applyFont="1" applyFill="1" applyBorder="1" applyAlignment="1" applyProtection="1">
      <protection hidden="1"/>
    </xf>
    <xf numFmtId="0" fontId="99" fillId="0" borderId="8" xfId="0" applyFont="1" applyFill="1" applyBorder="1" applyAlignment="1" applyProtection="1">
      <protection hidden="1"/>
    </xf>
    <xf numFmtId="0" fontId="99" fillId="0" borderId="6" xfId="0" applyFont="1" applyFill="1" applyBorder="1" applyAlignment="1" applyProtection="1">
      <protection hidden="1"/>
    </xf>
    <xf numFmtId="0" fontId="99" fillId="0" borderId="3" xfId="0" applyFont="1" applyFill="1" applyBorder="1" applyAlignment="1" applyProtection="1">
      <protection hidden="1"/>
    </xf>
    <xf numFmtId="0" fontId="99" fillId="0" borderId="7" xfId="0" applyFont="1" applyFill="1" applyBorder="1" applyAlignment="1" applyProtection="1">
      <protection hidden="1"/>
    </xf>
    <xf numFmtId="8" fontId="76" fillId="0" borderId="8" xfId="0" applyNumberFormat="1" applyFont="1" applyFill="1" applyBorder="1" applyAlignment="1" applyProtection="1">
      <protection hidden="1"/>
    </xf>
    <xf numFmtId="0" fontId="4" fillId="0" borderId="26" xfId="0" applyFont="1" applyFill="1" applyBorder="1" applyAlignment="1" applyProtection="1">
      <protection hidden="1"/>
    </xf>
    <xf numFmtId="16" fontId="4" fillId="0" borderId="8" xfId="0" applyNumberFormat="1" applyFont="1" applyFill="1" applyBorder="1" applyAlignment="1" applyProtection="1">
      <protection hidden="1"/>
    </xf>
    <xf numFmtId="0" fontId="76" fillId="0" borderId="6" xfId="0" applyFont="1" applyFill="1" applyBorder="1" applyAlignment="1" applyProtection="1">
      <protection hidden="1"/>
    </xf>
    <xf numFmtId="0" fontId="76" fillId="0" borderId="3" xfId="0" applyFont="1" applyFill="1" applyBorder="1" applyAlignment="1" applyProtection="1">
      <protection hidden="1"/>
    </xf>
    <xf numFmtId="0" fontId="99" fillId="0" borderId="8" xfId="0" applyFont="1" applyFill="1" applyBorder="1"/>
    <xf numFmtId="0" fontId="4" fillId="0" borderId="8" xfId="0" applyFont="1" applyFill="1" applyBorder="1" applyAlignment="1" applyProtection="1">
      <alignment horizontal="left"/>
      <protection hidden="1"/>
    </xf>
    <xf numFmtId="0" fontId="4" fillId="0" borderId="6" xfId="0" applyFont="1" applyFill="1" applyBorder="1" applyAlignment="1" applyProtection="1">
      <protection hidden="1"/>
    </xf>
    <xf numFmtId="0" fontId="0" fillId="0" borderId="7" xfId="0" applyBorder="1" applyAlignment="1">
      <alignment vertical="top"/>
    </xf>
    <xf numFmtId="8" fontId="0" fillId="0" borderId="6" xfId="0" applyNumberFormat="1" applyBorder="1" applyAlignment="1">
      <alignment horizontal="left" vertical="top"/>
    </xf>
    <xf numFmtId="8" fontId="0" fillId="0" borderId="8" xfId="0" applyNumberFormat="1" applyBorder="1" applyAlignment="1">
      <alignment horizontal="left"/>
    </xf>
    <xf numFmtId="164" fontId="21" fillId="0" borderId="3" xfId="0" applyNumberFormat="1" applyFont="1" applyBorder="1" applyAlignment="1">
      <alignment horizontal="left" vertical="top"/>
    </xf>
    <xf numFmtId="0" fontId="21" fillId="0" borderId="26" xfId="0" applyFont="1" applyBorder="1" applyAlignment="1">
      <alignment horizontal="center" vertical="center"/>
    </xf>
    <xf numFmtId="0" fontId="21" fillId="0" borderId="8" xfId="0" applyFont="1" applyBorder="1" applyAlignment="1">
      <alignment horizontal="center" vertical="center"/>
    </xf>
    <xf numFmtId="0" fontId="4" fillId="0" borderId="0" xfId="0" applyFont="1" applyFill="1" applyBorder="1" applyAlignment="1">
      <alignment horizontal="left"/>
    </xf>
    <xf numFmtId="0" fontId="99" fillId="0" borderId="0" xfId="0" applyFont="1" applyFill="1" applyBorder="1" applyAlignment="1">
      <alignment horizontal="left"/>
    </xf>
    <xf numFmtId="170" fontId="4" fillId="0" borderId="0" xfId="0" applyNumberFormat="1" applyFont="1" applyFill="1" applyBorder="1" applyAlignment="1">
      <alignment horizontal="center"/>
    </xf>
    <xf numFmtId="1" fontId="4" fillId="0" borderId="0" xfId="0" applyNumberFormat="1" applyFont="1" applyFill="1" applyBorder="1"/>
    <xf numFmtId="164" fontId="4" fillId="0" borderId="0" xfId="0" applyNumberFormat="1" applyFont="1" applyFill="1" applyBorder="1" applyAlignment="1">
      <alignment horizontal="right"/>
    </xf>
    <xf numFmtId="8" fontId="4" fillId="0" borderId="0" xfId="0" applyNumberFormat="1" applyFont="1" applyFill="1" applyBorder="1" applyAlignment="1">
      <alignment horizontal="center"/>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Border="1" applyAlignment="1" applyProtection="1">
      <alignment horizontal="left"/>
      <protection hidden="1"/>
    </xf>
    <xf numFmtId="0" fontId="8" fillId="0" borderId="0" xfId="0" applyFont="1" applyFill="1" applyBorder="1" applyAlignment="1" applyProtection="1">
      <protection hidden="1"/>
    </xf>
    <xf numFmtId="166" fontId="4" fillId="0" borderId="0" xfId="0" applyNumberFormat="1" applyFont="1" applyFill="1" applyBorder="1" applyProtection="1">
      <protection hidden="1"/>
    </xf>
    <xf numFmtId="164" fontId="4" fillId="0" borderId="0" xfId="0" applyNumberFormat="1" applyFont="1" applyFill="1" applyBorder="1" applyProtection="1">
      <protection hidden="1"/>
    </xf>
    <xf numFmtId="0" fontId="8" fillId="0" borderId="0" xfId="0" applyFont="1" applyBorder="1" applyAlignment="1" applyProtection="1">
      <protection hidden="1"/>
    </xf>
    <xf numFmtId="8" fontId="4" fillId="0" borderId="0" xfId="0" applyNumberFormat="1" applyFont="1" applyFill="1" applyBorder="1" applyProtection="1">
      <protection hidden="1"/>
    </xf>
    <xf numFmtId="1" fontId="4" fillId="0" borderId="8" xfId="0" applyNumberFormat="1" applyFont="1" applyFill="1" applyBorder="1"/>
    <xf numFmtId="8" fontId="4" fillId="0" borderId="8" xfId="0" applyNumberFormat="1" applyFont="1" applyFill="1" applyBorder="1"/>
    <xf numFmtId="0" fontId="99" fillId="0" borderId="0" xfId="0" applyFont="1" applyFill="1" applyBorder="1"/>
    <xf numFmtId="0" fontId="99" fillId="0" borderId="19" xfId="0" applyFont="1" applyFill="1" applyBorder="1" applyAlignment="1"/>
    <xf numFmtId="0" fontId="99" fillId="0" borderId="0" xfId="0" applyFont="1" applyFill="1" applyBorder="1" applyAlignment="1"/>
    <xf numFmtId="0" fontId="99" fillId="0" borderId="8" xfId="0" applyFont="1" applyFill="1" applyBorder="1" applyProtection="1">
      <protection hidden="1"/>
    </xf>
    <xf numFmtId="8" fontId="61" fillId="0" borderId="0" xfId="0" applyNumberFormat="1" applyFont="1" applyFill="1" applyBorder="1"/>
    <xf numFmtId="8" fontId="61" fillId="0" borderId="8" xfId="0" applyNumberFormat="1" applyFont="1" applyFill="1" applyBorder="1"/>
    <xf numFmtId="0" fontId="76" fillId="0" borderId="8" xfId="0" applyFont="1" applyFill="1" applyBorder="1"/>
    <xf numFmtId="0" fontId="21" fillId="0" borderId="0" xfId="0" applyFont="1" applyProtection="1">
      <protection hidden="1"/>
    </xf>
    <xf numFmtId="0" fontId="100" fillId="0" borderId="8" xfId="0" applyFont="1" applyFill="1" applyBorder="1" applyAlignment="1" applyProtection="1">
      <alignment horizontal="center" vertical="top" wrapText="1"/>
      <protection hidden="1"/>
    </xf>
    <xf numFmtId="0" fontId="100" fillId="0" borderId="8" xfId="0" applyNumberFormat="1" applyFont="1" applyFill="1" applyBorder="1" applyAlignment="1" applyProtection="1">
      <alignment horizontal="center" vertical="top" wrapText="1"/>
      <protection hidden="1"/>
    </xf>
    <xf numFmtId="0" fontId="100" fillId="0" borderId="8" xfId="0" applyFont="1" applyFill="1" applyBorder="1" applyAlignment="1" applyProtection="1">
      <alignment vertical="top" wrapText="1"/>
      <protection hidden="1"/>
    </xf>
    <xf numFmtId="165" fontId="100" fillId="0" borderId="8" xfId="0" applyNumberFormat="1" applyFont="1" applyFill="1" applyBorder="1" applyAlignment="1" applyProtection="1">
      <alignment vertical="top" wrapText="1"/>
      <protection hidden="1"/>
    </xf>
    <xf numFmtId="170" fontId="100" fillId="0" borderId="8" xfId="0" applyNumberFormat="1" applyFont="1" applyFill="1" applyBorder="1" applyAlignment="1" applyProtection="1">
      <alignment horizontal="center" vertical="top" wrapText="1"/>
      <protection hidden="1"/>
    </xf>
    <xf numFmtId="164" fontId="100" fillId="0" borderId="8" xfId="0" applyNumberFormat="1" applyFont="1" applyFill="1" applyBorder="1" applyAlignment="1" applyProtection="1">
      <alignment horizontal="left" vertical="top" wrapText="1"/>
      <protection hidden="1"/>
    </xf>
    <xf numFmtId="4" fontId="100" fillId="0" borderId="8" xfId="0" applyNumberFormat="1" applyFont="1" applyFill="1" applyBorder="1" applyAlignment="1" applyProtection="1">
      <alignment horizontal="center" vertical="top" wrapText="1"/>
      <protection hidden="1"/>
    </xf>
    <xf numFmtId="169" fontId="100" fillId="0" borderId="8" xfId="0" applyNumberFormat="1" applyFont="1" applyFill="1" applyBorder="1" applyAlignment="1" applyProtection="1">
      <alignment horizontal="left" vertical="top" wrapText="1"/>
      <protection hidden="1"/>
    </xf>
    <xf numFmtId="8" fontId="100" fillId="0" borderId="8" xfId="0" applyNumberFormat="1" applyFont="1" applyFill="1" applyBorder="1" applyAlignment="1" applyProtection="1">
      <alignment horizontal="center" vertical="top" wrapText="1"/>
      <protection hidden="1"/>
    </xf>
    <xf numFmtId="0" fontId="100" fillId="0" borderId="8" xfId="0" applyFont="1" applyFill="1" applyBorder="1" applyAlignment="1">
      <alignment horizontal="center" vertical="top" wrapText="1"/>
    </xf>
    <xf numFmtId="8" fontId="100" fillId="0" borderId="0" xfId="0" applyNumberFormat="1" applyFont="1" applyFill="1" applyAlignment="1">
      <alignment horizontal="center" vertical="top"/>
    </xf>
    <xf numFmtId="0" fontId="100" fillId="0" borderId="8" xfId="0" applyFont="1" applyFill="1" applyBorder="1" applyAlignment="1">
      <alignment vertical="top" wrapText="1"/>
    </xf>
    <xf numFmtId="0" fontId="100" fillId="0" borderId="0" xfId="0" applyFont="1" applyFill="1"/>
    <xf numFmtId="0" fontId="4" fillId="0" borderId="0" xfId="0" applyFont="1" applyFill="1" applyBorder="1" applyAlignment="1">
      <alignment horizontal="center"/>
    </xf>
    <xf numFmtId="0" fontId="61" fillId="0" borderId="0" xfId="0" applyFont="1" applyFill="1" applyBorder="1"/>
    <xf numFmtId="8" fontId="35" fillId="0" borderId="0" xfId="0" applyNumberFormat="1" applyFont="1" applyFill="1" applyBorder="1"/>
    <xf numFmtId="0" fontId="35" fillId="0" borderId="0" xfId="0" applyFont="1" applyFill="1" applyBorder="1"/>
    <xf numFmtId="0" fontId="76" fillId="0" borderId="0" xfId="0" applyFont="1" applyFill="1" applyBorder="1"/>
    <xf numFmtId="0" fontId="71" fillId="0" borderId="0" xfId="0" applyFont="1" applyFill="1" applyBorder="1"/>
    <xf numFmtId="164" fontId="4" fillId="0" borderId="8" xfId="0" applyNumberFormat="1" applyFont="1" applyFill="1" applyBorder="1" applyProtection="1">
      <protection hidden="1"/>
    </xf>
    <xf numFmtId="164" fontId="101" fillId="0" borderId="8" xfId="0" applyNumberFormat="1" applyFont="1" applyFill="1" applyBorder="1"/>
    <xf numFmtId="164" fontId="101" fillId="0" borderId="8" xfId="0" applyNumberFormat="1" applyFont="1" applyFill="1" applyBorder="1" applyAlignment="1" applyProtection="1">
      <protection hidden="1"/>
    </xf>
    <xf numFmtId="164" fontId="101" fillId="0" borderId="8" xfId="0" applyNumberFormat="1" applyFont="1" applyFill="1" applyBorder="1" applyProtection="1">
      <protection hidden="1"/>
    </xf>
    <xf numFmtId="164" fontId="57" fillId="0" borderId="8" xfId="0" applyNumberFormat="1" applyFont="1" applyFill="1" applyBorder="1" applyProtection="1">
      <protection hidden="1"/>
    </xf>
    <xf numFmtId="0" fontId="76" fillId="0" borderId="0" xfId="0" applyFont="1" applyFill="1" applyBorder="1" applyProtection="1">
      <protection hidden="1"/>
    </xf>
    <xf numFmtId="164" fontId="76" fillId="0" borderId="0" xfId="0" applyNumberFormat="1" applyFont="1" applyFill="1" applyBorder="1" applyAlignment="1" applyProtection="1">
      <protection hidden="1"/>
    </xf>
    <xf numFmtId="0" fontId="71" fillId="0" borderId="0" xfId="0" applyFont="1" applyFill="1" applyBorder="1" applyAlignment="1" applyProtection="1">
      <protection hidden="1"/>
    </xf>
    <xf numFmtId="8" fontId="21" fillId="0" borderId="27" xfId="0" applyNumberFormat="1" applyFont="1" applyBorder="1" applyAlignment="1">
      <alignment horizontal="center" vertical="center"/>
    </xf>
    <xf numFmtId="164" fontId="99" fillId="0" borderId="8" xfId="0" applyNumberFormat="1" applyFont="1" applyFill="1" applyBorder="1" applyAlignment="1" applyProtection="1">
      <protection hidden="1"/>
    </xf>
    <xf numFmtId="0" fontId="102" fillId="0" borderId="0" xfId="0" applyFont="1" applyFill="1" applyBorder="1"/>
    <xf numFmtId="164" fontId="102" fillId="0" borderId="0" xfId="0" applyNumberFormat="1" applyFont="1" applyFill="1" applyBorder="1"/>
    <xf numFmtId="0" fontId="102" fillId="0" borderId="0" xfId="0" applyFont="1" applyFill="1" applyBorder="1" applyAlignment="1" applyProtection="1">
      <protection hidden="1"/>
    </xf>
    <xf numFmtId="164" fontId="102" fillId="0" borderId="0" xfId="0" applyNumberFormat="1" applyFont="1" applyFill="1" applyBorder="1" applyAlignment="1" applyProtection="1">
      <protection hidden="1"/>
    </xf>
    <xf numFmtId="0" fontId="102" fillId="0" borderId="0" xfId="0" applyFont="1" applyFill="1" applyBorder="1" applyAlignment="1" applyProtection="1">
      <alignment horizontal="center"/>
      <protection hidden="1"/>
    </xf>
    <xf numFmtId="0" fontId="102" fillId="0" borderId="26" xfId="0" applyFont="1" applyFill="1" applyBorder="1" applyAlignment="1" applyProtection="1">
      <protection hidden="1"/>
    </xf>
    <xf numFmtId="0" fontId="102" fillId="0" borderId="28" xfId="0" applyFont="1" applyFill="1" applyBorder="1" applyAlignment="1" applyProtection="1">
      <protection hidden="1"/>
    </xf>
    <xf numFmtId="0" fontId="102" fillId="0" borderId="27" xfId="0" applyFont="1" applyFill="1" applyBorder="1" applyAlignment="1" applyProtection="1">
      <protection hidden="1"/>
    </xf>
    <xf numFmtId="164" fontId="102" fillId="0" borderId="26" xfId="0" applyNumberFormat="1" applyFont="1" applyFill="1" applyBorder="1" applyAlignment="1" applyProtection="1">
      <protection hidden="1"/>
    </xf>
    <xf numFmtId="164" fontId="102" fillId="0" borderId="28" xfId="0" applyNumberFormat="1" applyFont="1" applyFill="1" applyBorder="1" applyAlignment="1" applyProtection="1">
      <protection hidden="1"/>
    </xf>
    <xf numFmtId="164" fontId="102" fillId="0" borderId="27" xfId="0" applyNumberFormat="1" applyFont="1" applyFill="1" applyBorder="1" applyAlignment="1" applyProtection="1">
      <protection hidden="1"/>
    </xf>
    <xf numFmtId="0" fontId="37" fillId="0" borderId="8" xfId="0" applyFont="1" applyFill="1" applyBorder="1" applyAlignment="1" applyProtection="1">
      <protection hidden="1"/>
    </xf>
    <xf numFmtId="0" fontId="104" fillId="0" borderId="8" xfId="0" applyFont="1" applyFill="1" applyBorder="1" applyAlignment="1" applyProtection="1">
      <protection hidden="1"/>
    </xf>
    <xf numFmtId="164" fontId="37" fillId="0" borderId="8" xfId="0" applyNumberFormat="1" applyFont="1" applyFill="1" applyBorder="1" applyAlignment="1" applyProtection="1">
      <protection hidden="1"/>
    </xf>
    <xf numFmtId="0" fontId="37" fillId="0" borderId="27" xfId="0" applyFont="1" applyFill="1" applyBorder="1" applyAlignment="1" applyProtection="1">
      <protection hidden="1"/>
    </xf>
    <xf numFmtId="164" fontId="37" fillId="0" borderId="27" xfId="0" applyNumberFormat="1" applyFont="1" applyFill="1" applyBorder="1" applyAlignment="1" applyProtection="1">
      <protection hidden="1"/>
    </xf>
    <xf numFmtId="0" fontId="104" fillId="0" borderId="8" xfId="0" applyFont="1" applyFill="1" applyBorder="1" applyAlignment="1" applyProtection="1">
      <alignment horizontal="center"/>
      <protection hidden="1"/>
    </xf>
    <xf numFmtId="0" fontId="37" fillId="0" borderId="8" xfId="0" applyFont="1" applyFill="1" applyBorder="1" applyAlignment="1" applyProtection="1">
      <alignment horizontal="center"/>
      <protection hidden="1"/>
    </xf>
    <xf numFmtId="164" fontId="104" fillId="0" borderId="8" xfId="0" applyNumberFormat="1" applyFont="1" applyFill="1" applyBorder="1" applyAlignment="1" applyProtection="1">
      <protection hidden="1"/>
    </xf>
    <xf numFmtId="0" fontId="104" fillId="0" borderId="8" xfId="0" applyFont="1" applyBorder="1" applyAlignment="1" applyProtection="1">
      <protection hidden="1"/>
    </xf>
    <xf numFmtId="0" fontId="37" fillId="0" borderId="8" xfId="0" applyFont="1" applyBorder="1" applyAlignment="1" applyProtection="1">
      <protection hidden="1"/>
    </xf>
    <xf numFmtId="164" fontId="37" fillId="0" borderId="8" xfId="0" applyNumberFormat="1" applyFont="1" applyBorder="1" applyAlignment="1" applyProtection="1">
      <protection hidden="1"/>
    </xf>
    <xf numFmtId="10" fontId="37" fillId="0" borderId="0" xfId="0" applyNumberFormat="1" applyFont="1"/>
    <xf numFmtId="10" fontId="0" fillId="4" borderId="8" xfId="0" applyNumberFormat="1" applyFill="1" applyBorder="1" applyAlignment="1" applyProtection="1">
      <alignment horizontal="center"/>
      <protection locked="0"/>
    </xf>
    <xf numFmtId="164" fontId="71" fillId="0" borderId="8" xfId="0" applyNumberFormat="1" applyFont="1" applyFill="1" applyBorder="1" applyAlignment="1" applyProtection="1">
      <protection hidden="1"/>
    </xf>
    <xf numFmtId="0" fontId="104" fillId="0" borderId="8" xfId="0" applyFont="1" applyFill="1" applyBorder="1" applyAlignment="1" applyProtection="1">
      <alignment horizontal="center"/>
      <protection hidden="1"/>
    </xf>
    <xf numFmtId="0" fontId="0" fillId="0" borderId="0" xfId="0" applyProtection="1">
      <protection hidden="1"/>
    </xf>
    <xf numFmtId="0" fontId="66" fillId="0" borderId="0" xfId="0" applyFont="1" applyProtection="1">
      <protection hidden="1"/>
    </xf>
    <xf numFmtId="0" fontId="66" fillId="0" borderId="0" xfId="0" applyFont="1" applyProtection="1">
      <protection hidden="1"/>
    </xf>
    <xf numFmtId="0" fontId="21" fillId="0" borderId="0" xfId="0" applyFont="1" applyAlignment="1" applyProtection="1">
      <alignment horizontal="left"/>
      <protection hidden="1"/>
    </xf>
    <xf numFmtId="0" fontId="21" fillId="0" borderId="0" xfId="0" applyFont="1" applyAlignment="1" applyProtection="1">
      <alignment horizontal="center"/>
      <protection hidden="1"/>
    </xf>
    <xf numFmtId="0" fontId="21" fillId="0" borderId="1" xfId="0" applyFont="1" applyBorder="1" applyAlignment="1" applyProtection="1">
      <alignment horizontal="center"/>
      <protection hidden="1"/>
    </xf>
    <xf numFmtId="0" fontId="9" fillId="0" borderId="0" xfId="0" applyFont="1" applyAlignment="1" applyProtection="1">
      <alignment horizontal="left"/>
      <protection hidden="1"/>
    </xf>
    <xf numFmtId="0" fontId="33" fillId="0" borderId="0" xfId="0" applyFont="1" applyAlignment="1" applyProtection="1">
      <alignment horizontal="left"/>
      <protection hidden="1"/>
    </xf>
    <xf numFmtId="0" fontId="21" fillId="0" borderId="5" xfId="0" applyFont="1" applyBorder="1" applyAlignment="1" applyProtection="1">
      <alignment horizontal="center"/>
      <protection hidden="1"/>
    </xf>
    <xf numFmtId="0" fontId="33" fillId="0" borderId="9" xfId="0" applyFont="1" applyBorder="1" applyProtection="1">
      <protection hidden="1"/>
    </xf>
    <xf numFmtId="164" fontId="9" fillId="0" borderId="11" xfId="0" applyNumberFormat="1" applyFont="1" applyBorder="1" applyAlignment="1" applyProtection="1">
      <alignment horizontal="center"/>
      <protection hidden="1"/>
    </xf>
    <xf numFmtId="8" fontId="9" fillId="0" borderId="14" xfId="0" applyNumberFormat="1" applyFont="1" applyBorder="1" applyAlignment="1" applyProtection="1">
      <alignment horizontal="center"/>
      <protection hidden="1"/>
    </xf>
    <xf numFmtId="0" fontId="8" fillId="7" borderId="0" xfId="0" applyFont="1" applyFill="1" applyAlignment="1" applyProtection="1">
      <protection hidden="1"/>
    </xf>
    <xf numFmtId="0" fontId="0" fillId="7" borderId="0" xfId="0" applyFill="1" applyProtection="1">
      <protection hidden="1"/>
    </xf>
    <xf numFmtId="0" fontId="4" fillId="0" borderId="5" xfId="0" applyFont="1" applyBorder="1" applyAlignment="1" applyProtection="1">
      <alignment horizontal="center"/>
      <protection hidden="1"/>
    </xf>
    <xf numFmtId="0" fontId="33" fillId="0" borderId="10" xfId="0" applyFont="1" applyBorder="1" applyAlignment="1" applyProtection="1">
      <alignment horizontal="center"/>
      <protection hidden="1"/>
    </xf>
    <xf numFmtId="14" fontId="9" fillId="0" borderId="1" xfId="0" applyNumberFormat="1" applyFont="1" applyBorder="1" applyAlignment="1" applyProtection="1">
      <alignment horizontal="center"/>
      <protection hidden="1"/>
    </xf>
    <xf numFmtId="20" fontId="9" fillId="0" borderId="5" xfId="0" applyNumberFormat="1" applyFont="1" applyBorder="1" applyAlignment="1" applyProtection="1">
      <alignment horizontal="center"/>
      <protection hidden="1"/>
    </xf>
    <xf numFmtId="1" fontId="21" fillId="0" borderId="1" xfId="0" applyNumberFormat="1" applyFont="1" applyFill="1" applyBorder="1" applyAlignment="1" applyProtection="1">
      <alignment horizontal="right"/>
      <protection hidden="1"/>
    </xf>
    <xf numFmtId="0" fontId="9" fillId="0" borderId="0" xfId="0" quotePrefix="1" applyFont="1" applyBorder="1" applyAlignment="1" applyProtection="1">
      <alignment horizontal="right"/>
      <protection hidden="1"/>
    </xf>
    <xf numFmtId="1" fontId="21" fillId="0" borderId="3" xfId="0" applyNumberFormat="1" applyFont="1" applyFill="1" applyBorder="1" applyAlignment="1" applyProtection="1">
      <alignment horizontal="right"/>
      <protection hidden="1"/>
    </xf>
    <xf numFmtId="14" fontId="21" fillId="0" borderId="1" xfId="0" applyNumberFormat="1" applyFont="1" applyBorder="1" applyAlignment="1" applyProtection="1">
      <alignment horizontal="center"/>
      <protection hidden="1"/>
    </xf>
    <xf numFmtId="164" fontId="8" fillId="0" borderId="1" xfId="0" applyNumberFormat="1" applyFont="1" applyBorder="1" applyAlignment="1" applyProtection="1">
      <alignment horizontal="center"/>
      <protection hidden="1"/>
    </xf>
    <xf numFmtId="164" fontId="8" fillId="0" borderId="0" xfId="0" applyNumberFormat="1" applyFont="1" applyBorder="1" applyAlignment="1" applyProtection="1">
      <alignment horizontal="center"/>
      <protection hidden="1"/>
    </xf>
    <xf numFmtId="0" fontId="90" fillId="0" borderId="0" xfId="1" applyFont="1" applyFill="1" applyAlignment="1" applyProtection="1">
      <alignment horizontal="center"/>
      <protection hidden="1"/>
    </xf>
    <xf numFmtId="0" fontId="21" fillId="0" borderId="8" xfId="0" applyFont="1" applyBorder="1" applyAlignment="1" applyProtection="1">
      <alignment horizontal="center"/>
      <protection hidden="1"/>
    </xf>
    <xf numFmtId="164" fontId="21" fillId="0" borderId="6" xfId="0" applyNumberFormat="1" applyFont="1" applyBorder="1" applyAlignment="1" applyProtection="1">
      <alignment horizontal="left"/>
      <protection hidden="1"/>
    </xf>
    <xf numFmtId="0" fontId="21" fillId="0" borderId="26" xfId="0" applyFont="1" applyBorder="1" applyAlignment="1" applyProtection="1">
      <alignment horizontal="center" vertical="center"/>
      <protection hidden="1"/>
    </xf>
    <xf numFmtId="0" fontId="40" fillId="0" borderId="0" xfId="0" applyFont="1" applyProtection="1">
      <protection hidden="1"/>
    </xf>
    <xf numFmtId="164" fontId="104" fillId="0" borderId="0" xfId="0" applyNumberFormat="1" applyFont="1" applyAlignment="1" applyProtection="1">
      <protection hidden="1"/>
    </xf>
    <xf numFmtId="164" fontId="104" fillId="0" borderId="0" xfId="0" applyNumberFormat="1" applyFont="1" applyAlignment="1" applyProtection="1">
      <alignment horizontal="right"/>
      <protection hidden="1"/>
    </xf>
    <xf numFmtId="0" fontId="98" fillId="0" borderId="0" xfId="1" applyFont="1" applyAlignment="1" applyProtection="1">
      <protection hidden="1"/>
    </xf>
    <xf numFmtId="0" fontId="9" fillId="0" borderId="0" xfId="0" applyFont="1" applyFill="1" applyAlignment="1" applyProtection="1">
      <alignment horizontal="right"/>
      <protection hidden="1"/>
    </xf>
    <xf numFmtId="14" fontId="4" fillId="0" borderId="22" xfId="0" applyNumberFormat="1" applyFont="1" applyBorder="1" applyAlignment="1" applyProtection="1">
      <alignment horizontal="center"/>
      <protection hidden="1"/>
    </xf>
    <xf numFmtId="14" fontId="4" fillId="0" borderId="1" xfId="0" applyNumberFormat="1" applyFont="1" applyBorder="1" applyAlignment="1" applyProtection="1">
      <alignment horizontal="center"/>
      <protection hidden="1"/>
    </xf>
    <xf numFmtId="20" fontId="33" fillId="0" borderId="5" xfId="0" applyNumberFormat="1" applyFont="1" applyBorder="1" applyAlignment="1" applyProtection="1">
      <alignment horizontal="center"/>
      <protection hidden="1"/>
    </xf>
    <xf numFmtId="1" fontId="9" fillId="0" borderId="1" xfId="0" applyNumberFormat="1" applyFont="1" applyFill="1" applyBorder="1" applyAlignment="1" applyProtection="1">
      <alignment horizontal="right"/>
      <protection hidden="1"/>
    </xf>
    <xf numFmtId="0" fontId="4" fillId="0" borderId="1" xfId="0" applyFont="1" applyBorder="1" applyProtection="1">
      <protection hidden="1"/>
    </xf>
    <xf numFmtId="0" fontId="10" fillId="0" borderId="1" xfId="0" applyFont="1" applyBorder="1" applyProtection="1">
      <protection hidden="1"/>
    </xf>
    <xf numFmtId="14" fontId="33" fillId="0" borderId="1" xfId="0" applyNumberFormat="1" applyFont="1" applyBorder="1" applyAlignment="1" applyProtection="1">
      <alignment horizontal="center"/>
      <protection hidden="1"/>
    </xf>
    <xf numFmtId="0" fontId="8" fillId="0" borderId="0" xfId="0" applyFont="1" applyBorder="1" applyAlignment="1" applyProtection="1">
      <alignment horizontal="right"/>
      <protection hidden="1"/>
    </xf>
    <xf numFmtId="0" fontId="21" fillId="0" borderId="0" xfId="0" applyFont="1" applyFill="1" applyAlignment="1" applyProtection="1">
      <alignment horizontal="right"/>
      <protection hidden="1"/>
    </xf>
    <xf numFmtId="1" fontId="33" fillId="0" borderId="1" xfId="0" applyNumberFormat="1" applyFont="1" applyFill="1" applyBorder="1" applyAlignment="1" applyProtection="1">
      <alignment horizontal="right"/>
      <protection hidden="1"/>
    </xf>
    <xf numFmtId="0" fontId="106" fillId="0" borderId="0" xfId="0" applyFont="1" applyAlignment="1" applyProtection="1">
      <protection hidden="1"/>
    </xf>
    <xf numFmtId="8" fontId="9" fillId="0" borderId="14" xfId="0" applyNumberFormat="1" applyFont="1" applyBorder="1" applyProtection="1">
      <protection hidden="1"/>
    </xf>
    <xf numFmtId="164" fontId="4" fillId="0" borderId="0" xfId="0" applyNumberFormat="1" applyFont="1" applyProtection="1">
      <protection hidden="1"/>
    </xf>
    <xf numFmtId="0" fontId="4" fillId="0" borderId="0" xfId="0" applyFont="1" applyBorder="1" applyAlignment="1" applyProtection="1">
      <alignment horizontal="right"/>
      <protection hidden="1"/>
    </xf>
    <xf numFmtId="164" fontId="33" fillId="0" borderId="6" xfId="0" applyNumberFormat="1" applyFont="1" applyFill="1" applyBorder="1" applyAlignment="1" applyProtection="1">
      <alignment horizontal="center"/>
      <protection hidden="1"/>
    </xf>
    <xf numFmtId="164" fontId="9" fillId="0" borderId="11" xfId="0" applyNumberFormat="1" applyFont="1" applyBorder="1" applyAlignment="1" applyProtection="1">
      <alignment horizontal="right"/>
      <protection hidden="1"/>
    </xf>
    <xf numFmtId="0" fontId="4" fillId="0" borderId="2" xfId="0" applyFont="1" applyBorder="1" applyProtection="1">
      <protection hidden="1"/>
    </xf>
    <xf numFmtId="170" fontId="4" fillId="0" borderId="5" xfId="0" applyNumberFormat="1" applyFont="1" applyBorder="1" applyAlignment="1" applyProtection="1">
      <alignment horizontal="center"/>
      <protection hidden="1"/>
    </xf>
    <xf numFmtId="0" fontId="4" fillId="0" borderId="0" xfId="0" applyFont="1" applyAlignment="1" applyProtection="1">
      <alignment horizontal="center"/>
      <protection hidden="1"/>
    </xf>
    <xf numFmtId="8" fontId="9" fillId="0" borderId="14" xfId="0" applyNumberFormat="1" applyFont="1" applyBorder="1" applyAlignment="1" applyProtection="1">
      <protection hidden="1"/>
    </xf>
    <xf numFmtId="164" fontId="9" fillId="0" borderId="17" xfId="0" applyNumberFormat="1" applyFont="1" applyBorder="1" applyAlignment="1" applyProtection="1">
      <alignment horizontal="center"/>
      <protection hidden="1"/>
    </xf>
    <xf numFmtId="8" fontId="9" fillId="0" borderId="17" xfId="0" applyNumberFormat="1" applyFont="1" applyBorder="1" applyAlignment="1" applyProtection="1">
      <alignment horizontal="center"/>
      <protection hidden="1"/>
    </xf>
    <xf numFmtId="8" fontId="9" fillId="0" borderId="16" xfId="0" applyNumberFormat="1" applyFont="1" applyBorder="1" applyAlignment="1" applyProtection="1">
      <protection hidden="1"/>
    </xf>
    <xf numFmtId="0" fontId="40" fillId="0" borderId="0" xfId="0" applyFont="1" applyFill="1" applyBorder="1" applyAlignment="1" applyProtection="1">
      <alignment horizontal="center"/>
      <protection hidden="1"/>
    </xf>
    <xf numFmtId="0" fontId="9" fillId="0" borderId="23" xfId="0" applyNumberFormat="1" applyFont="1" applyBorder="1" applyAlignment="1" applyProtection="1">
      <alignment horizontal="center"/>
      <protection hidden="1"/>
    </xf>
    <xf numFmtId="164" fontId="9" fillId="0" borderId="0" xfId="0" applyNumberFormat="1" applyFont="1" applyBorder="1" applyAlignment="1" applyProtection="1">
      <alignment horizontal="center"/>
      <protection hidden="1"/>
    </xf>
    <xf numFmtId="164" fontId="9" fillId="0" borderId="0" xfId="0" applyNumberFormat="1" applyFont="1" applyBorder="1" applyAlignment="1" applyProtection="1">
      <protection hidden="1"/>
    </xf>
    <xf numFmtId="0" fontId="40" fillId="0" borderId="0" xfId="0" applyFont="1" applyBorder="1" applyAlignment="1" applyProtection="1">
      <alignment horizontal="right"/>
      <protection hidden="1"/>
    </xf>
    <xf numFmtId="0" fontId="40" fillId="0" borderId="0" xfId="0" applyFont="1" applyAlignment="1" applyProtection="1">
      <protection hidden="1"/>
    </xf>
    <xf numFmtId="8" fontId="9" fillId="0" borderId="0" xfId="0" applyNumberFormat="1" applyFont="1" applyFill="1" applyBorder="1" applyAlignment="1" applyProtection="1">
      <protection hidden="1"/>
    </xf>
    <xf numFmtId="164" fontId="107" fillId="0" borderId="0" xfId="0" applyNumberFormat="1" applyFont="1" applyBorder="1" applyAlignment="1" applyProtection="1">
      <alignment horizontal="right"/>
      <protection hidden="1"/>
    </xf>
    <xf numFmtId="14" fontId="4" fillId="0" borderId="0" xfId="0" applyNumberFormat="1" applyFont="1" applyProtection="1">
      <protection hidden="1"/>
    </xf>
    <xf numFmtId="166" fontId="23" fillId="0" borderId="0" xfId="0" applyNumberFormat="1" applyFont="1" applyProtection="1">
      <protection hidden="1"/>
    </xf>
    <xf numFmtId="0" fontId="10" fillId="0" borderId="0" xfId="0" applyFont="1" applyBorder="1" applyAlignment="1" applyProtection="1">
      <protection hidden="1"/>
    </xf>
    <xf numFmtId="0" fontId="108" fillId="0" borderId="0" xfId="0" applyFont="1" applyAlignment="1" applyProtection="1">
      <protection hidden="1"/>
    </xf>
    <xf numFmtId="0" fontId="40" fillId="0" borderId="0" xfId="1" applyFont="1" applyFill="1" applyAlignment="1" applyProtection="1">
      <alignment horizontal="center"/>
      <protection hidden="1"/>
    </xf>
    <xf numFmtId="8" fontId="21" fillId="0" borderId="27" xfId="0" applyNumberFormat="1" applyFont="1" applyBorder="1" applyAlignment="1" applyProtection="1">
      <alignment horizontal="center" vertical="center"/>
      <protection hidden="1"/>
    </xf>
    <xf numFmtId="8" fontId="4" fillId="0" borderId="6" xfId="0" applyNumberFormat="1" applyFont="1" applyBorder="1" applyAlignment="1" applyProtection="1">
      <alignment horizontal="left" vertical="top"/>
      <protection hidden="1"/>
    </xf>
    <xf numFmtId="164" fontId="21" fillId="0" borderId="3" xfId="0" applyNumberFormat="1" applyFont="1" applyBorder="1" applyAlignment="1" applyProtection="1">
      <alignment horizontal="left" vertical="top"/>
      <protection hidden="1"/>
    </xf>
    <xf numFmtId="0" fontId="4" fillId="0" borderId="7" xfId="0" applyFont="1" applyBorder="1" applyAlignment="1" applyProtection="1">
      <alignment vertical="top"/>
      <protection hidden="1"/>
    </xf>
    <xf numFmtId="8" fontId="4" fillId="0" borderId="8" xfId="0" applyNumberFormat="1" applyFont="1" applyBorder="1" applyAlignment="1" applyProtection="1">
      <alignment horizontal="left"/>
      <protection hidden="1"/>
    </xf>
    <xf numFmtId="164" fontId="4" fillId="0" borderId="8" xfId="0" applyNumberFormat="1" applyFont="1" applyBorder="1" applyProtection="1">
      <protection hidden="1"/>
    </xf>
    <xf numFmtId="0" fontId="40" fillId="0" borderId="0" xfId="0" applyFont="1" applyAlignment="1" applyProtection="1">
      <alignment horizontal="left"/>
      <protection hidden="1"/>
    </xf>
    <xf numFmtId="0" fontId="51" fillId="0" borderId="0" xfId="0" applyFont="1" applyProtection="1">
      <protection hidden="1"/>
    </xf>
    <xf numFmtId="0" fontId="51" fillId="0" borderId="0" xfId="0" applyFont="1" applyAlignment="1" applyProtection="1">
      <alignment wrapText="1"/>
      <protection hidden="1"/>
    </xf>
    <xf numFmtId="0" fontId="4" fillId="0" borderId="0" xfId="0" applyFont="1" applyAlignment="1" applyProtection="1">
      <alignment vertical="top" wrapText="1"/>
      <protection hidden="1"/>
    </xf>
    <xf numFmtId="0" fontId="33" fillId="0" borderId="0" xfId="0" applyFont="1" applyAlignment="1" applyProtection="1">
      <alignment vertical="top" wrapText="1"/>
      <protection hidden="1"/>
    </xf>
    <xf numFmtId="0" fontId="70" fillId="0" borderId="0" xfId="0" applyFont="1" applyAlignment="1" applyProtection="1">
      <alignment horizontal="right" vertical="top" wrapText="1"/>
      <protection hidden="1"/>
    </xf>
    <xf numFmtId="165" fontId="4" fillId="0" borderId="10" xfId="0" applyNumberFormat="1" applyFont="1" applyBorder="1" applyAlignment="1" applyProtection="1">
      <alignment horizontal="center"/>
      <protection hidden="1"/>
    </xf>
    <xf numFmtId="8" fontId="98" fillId="0" borderId="0" xfId="1" applyNumberFormat="1" applyFont="1" applyFill="1" applyAlignment="1" applyProtection="1">
      <alignment horizontal="center"/>
      <protection hidden="1"/>
    </xf>
    <xf numFmtId="0" fontId="10" fillId="0" borderId="1" xfId="0" applyFont="1" applyBorder="1" applyAlignment="1" applyProtection="1">
      <alignment horizontal="right"/>
      <protection hidden="1"/>
    </xf>
    <xf numFmtId="8" fontId="8" fillId="0" borderId="0" xfId="0" applyNumberFormat="1" applyFont="1" applyBorder="1" applyProtection="1">
      <protection hidden="1"/>
    </xf>
    <xf numFmtId="0" fontId="40" fillId="0" borderId="2" xfId="0" applyFont="1" applyBorder="1" applyProtection="1">
      <protection hidden="1"/>
    </xf>
    <xf numFmtId="0" fontId="9" fillId="0" borderId="0" xfId="0" applyFont="1" applyBorder="1" applyAlignment="1" applyProtection="1">
      <alignment horizontal="left"/>
      <protection hidden="1"/>
    </xf>
    <xf numFmtId="164" fontId="21" fillId="0" borderId="0" xfId="0" applyNumberFormat="1" applyFont="1" applyProtection="1">
      <protection hidden="1"/>
    </xf>
    <xf numFmtId="0" fontId="21" fillId="0" borderId="0" xfId="0" applyFont="1" applyBorder="1" applyProtection="1">
      <protection hidden="1"/>
    </xf>
    <xf numFmtId="165" fontId="4" fillId="0" borderId="5" xfId="0" applyNumberFormat="1" applyFont="1" applyBorder="1" applyAlignment="1" applyProtection="1">
      <alignment horizontal="center"/>
      <protection hidden="1"/>
    </xf>
    <xf numFmtId="0" fontId="9" fillId="0" borderId="0" xfId="0" applyNumberFormat="1" applyFont="1" applyFill="1" applyAlignment="1" applyProtection="1">
      <alignment horizontal="center"/>
      <protection hidden="1"/>
    </xf>
    <xf numFmtId="164" fontId="9" fillId="0" borderId="0" xfId="0" quotePrefix="1" applyNumberFormat="1" applyFont="1" applyBorder="1" applyAlignment="1" applyProtection="1">
      <alignment horizontal="center"/>
      <protection hidden="1"/>
    </xf>
    <xf numFmtId="164" fontId="9" fillId="0" borderId="14" xfId="0" applyNumberFormat="1" applyFont="1" applyBorder="1" applyAlignment="1" applyProtection="1">
      <protection hidden="1"/>
    </xf>
    <xf numFmtId="0" fontId="40" fillId="0" borderId="0" xfId="0" applyFont="1" applyAlignment="1" applyProtection="1">
      <alignment horizontal="right"/>
      <protection hidden="1"/>
    </xf>
    <xf numFmtId="164" fontId="106" fillId="0" borderId="0" xfId="0" applyNumberFormat="1" applyFont="1" applyBorder="1" applyAlignment="1" applyProtection="1">
      <alignment horizontal="right"/>
      <protection hidden="1"/>
    </xf>
    <xf numFmtId="0" fontId="4" fillId="0" borderId="0" xfId="0" applyFont="1" applyBorder="1" applyProtection="1">
      <protection hidden="1"/>
    </xf>
    <xf numFmtId="164" fontId="9" fillId="0" borderId="5" xfId="0" applyNumberFormat="1" applyFont="1" applyBorder="1" applyAlignment="1" applyProtection="1">
      <alignment horizontal="right"/>
      <protection hidden="1"/>
    </xf>
    <xf numFmtId="8" fontId="4" fillId="0" borderId="26" xfId="0" applyNumberFormat="1" applyFont="1" applyBorder="1" applyProtection="1">
      <protection hidden="1"/>
    </xf>
    <xf numFmtId="164" fontId="4" fillId="0" borderId="0" xfId="0" applyNumberFormat="1" applyFont="1" applyAlignment="1" applyProtection="1">
      <alignment horizontal="left"/>
      <protection hidden="1"/>
    </xf>
    <xf numFmtId="0" fontId="4" fillId="0" borderId="7" xfId="0" applyFont="1" applyBorder="1" applyProtection="1">
      <protection hidden="1"/>
    </xf>
    <xf numFmtId="0" fontId="9" fillId="0" borderId="0" xfId="0" applyFont="1" applyFill="1" applyAlignment="1" applyProtection="1">
      <protection hidden="1"/>
    </xf>
    <xf numFmtId="0" fontId="4" fillId="0" borderId="8" xfId="0" applyFont="1" applyFill="1" applyBorder="1" applyProtection="1">
      <protection hidden="1"/>
    </xf>
    <xf numFmtId="0" fontId="37" fillId="0" borderId="8" xfId="0" applyFont="1" applyFill="1" applyBorder="1" applyProtection="1">
      <protection hidden="1"/>
    </xf>
    <xf numFmtId="164" fontId="4" fillId="8" borderId="8" xfId="0" applyNumberFormat="1" applyFont="1" applyFill="1" applyBorder="1"/>
    <xf numFmtId="0" fontId="37" fillId="0" borderId="0" xfId="0" applyFont="1" applyFill="1" applyBorder="1" applyProtection="1">
      <protection hidden="1"/>
    </xf>
    <xf numFmtId="164" fontId="37" fillId="8" borderId="8" xfId="0" applyNumberFormat="1" applyFont="1" applyFill="1" applyBorder="1" applyProtection="1">
      <protection hidden="1"/>
    </xf>
    <xf numFmtId="164" fontId="105" fillId="8" borderId="0" xfId="0" applyNumberFormat="1" applyFont="1" applyFill="1" applyAlignment="1" applyProtection="1">
      <protection hidden="1"/>
    </xf>
    <xf numFmtId="164" fontId="103" fillId="8" borderId="0" xfId="0" applyNumberFormat="1" applyFont="1" applyFill="1" applyAlignment="1" applyProtection="1">
      <protection hidden="1"/>
    </xf>
    <xf numFmtId="0" fontId="104" fillId="0" borderId="0" xfId="0" applyFont="1" applyFill="1" applyBorder="1" applyProtection="1">
      <protection hidden="1"/>
    </xf>
    <xf numFmtId="0" fontId="37" fillId="8" borderId="6" xfId="0" applyFont="1" applyFill="1" applyBorder="1" applyProtection="1">
      <protection hidden="1"/>
    </xf>
    <xf numFmtId="9" fontId="37" fillId="0" borderId="8" xfId="0" applyNumberFormat="1" applyFont="1" applyFill="1" applyBorder="1" applyAlignment="1" applyProtection="1">
      <alignment horizontal="center"/>
      <protection hidden="1"/>
    </xf>
    <xf numFmtId="10" fontId="37" fillId="0" borderId="8" xfId="0" applyNumberFormat="1" applyFont="1" applyFill="1" applyBorder="1" applyProtection="1">
      <protection hidden="1"/>
    </xf>
    <xf numFmtId="164" fontId="4" fillId="4" borderId="8" xfId="0" applyNumberFormat="1" applyFont="1" applyFill="1" applyBorder="1" applyProtection="1">
      <protection hidden="1"/>
    </xf>
    <xf numFmtId="164" fontId="37" fillId="9" borderId="8" xfId="0" applyNumberFormat="1" applyFont="1" applyFill="1" applyBorder="1" applyProtection="1">
      <protection hidden="1"/>
    </xf>
    <xf numFmtId="0" fontId="37" fillId="9" borderId="8" xfId="0" applyFont="1" applyFill="1" applyBorder="1" applyProtection="1">
      <protection hidden="1"/>
    </xf>
    <xf numFmtId="164" fontId="37" fillId="8" borderId="6" xfId="0" applyNumberFormat="1" applyFont="1" applyFill="1" applyBorder="1" applyProtection="1">
      <protection hidden="1"/>
    </xf>
    <xf numFmtId="0" fontId="37" fillId="0" borderId="0" xfId="0" applyFont="1"/>
    <xf numFmtId="0" fontId="37" fillId="9" borderId="0" xfId="0" applyFont="1" applyFill="1"/>
    <xf numFmtId="0" fontId="37" fillId="9" borderId="0" xfId="0" applyFont="1" applyFill="1" applyBorder="1" applyProtection="1">
      <protection hidden="1"/>
    </xf>
    <xf numFmtId="0" fontId="0" fillId="0" borderId="8" xfId="0" applyBorder="1"/>
    <xf numFmtId="0" fontId="110" fillId="0" borderId="0" xfId="0" applyFont="1" applyFill="1" applyBorder="1" applyProtection="1">
      <protection hidden="1"/>
    </xf>
    <xf numFmtId="0" fontId="110" fillId="0" borderId="0" xfId="0" applyFont="1" applyFill="1" applyProtection="1">
      <protection hidden="1"/>
    </xf>
    <xf numFmtId="0" fontId="101" fillId="0" borderId="0" xfId="0" applyFont="1" applyFill="1" applyBorder="1" applyProtection="1">
      <protection hidden="1"/>
    </xf>
    <xf numFmtId="0" fontId="110" fillId="0" borderId="25" xfId="0" applyFont="1" applyFill="1" applyBorder="1" applyProtection="1">
      <protection hidden="1"/>
    </xf>
    <xf numFmtId="0" fontId="110" fillId="0" borderId="19" xfId="0" applyFont="1" applyFill="1" applyBorder="1" applyProtection="1">
      <protection hidden="1"/>
    </xf>
    <xf numFmtId="0" fontId="110" fillId="0" borderId="12" xfId="0" applyFont="1" applyFill="1" applyBorder="1" applyProtection="1">
      <protection hidden="1"/>
    </xf>
    <xf numFmtId="0" fontId="101" fillId="0" borderId="19" xfId="0" applyFont="1" applyFill="1" applyBorder="1" applyProtection="1">
      <protection hidden="1"/>
    </xf>
    <xf numFmtId="0" fontId="101" fillId="0" borderId="20" xfId="0" applyFont="1" applyFill="1" applyBorder="1" applyProtection="1">
      <protection hidden="1"/>
    </xf>
    <xf numFmtId="0" fontId="101" fillId="0" borderId="1" xfId="0" applyFont="1" applyFill="1" applyBorder="1" applyProtection="1">
      <protection hidden="1"/>
    </xf>
    <xf numFmtId="0" fontId="110" fillId="0" borderId="1" xfId="0" applyFont="1" applyFill="1" applyBorder="1" applyProtection="1">
      <protection hidden="1"/>
    </xf>
    <xf numFmtId="0" fontId="110" fillId="0" borderId="4" xfId="0" applyFont="1" applyFill="1" applyBorder="1" applyProtection="1">
      <protection hidden="1"/>
    </xf>
    <xf numFmtId="0" fontId="101" fillId="0" borderId="24" xfId="0" applyFont="1" applyFill="1" applyBorder="1" applyProtection="1">
      <protection hidden="1"/>
    </xf>
    <xf numFmtId="0" fontId="110" fillId="0" borderId="2" xfId="0" applyFont="1" applyFill="1" applyBorder="1" applyProtection="1">
      <protection hidden="1"/>
    </xf>
    <xf numFmtId="0" fontId="4" fillId="0" borderId="2" xfId="0" applyFont="1" applyFill="1" applyBorder="1" applyProtection="1">
      <protection hidden="1"/>
    </xf>
    <xf numFmtId="0" fontId="4" fillId="0" borderId="25" xfId="0" applyFont="1" applyFill="1" applyBorder="1" applyProtection="1">
      <protection hidden="1"/>
    </xf>
    <xf numFmtId="0" fontId="4" fillId="0" borderId="12" xfId="0" applyFont="1" applyFill="1" applyBorder="1" applyProtection="1">
      <protection hidden="1"/>
    </xf>
    <xf numFmtId="0" fontId="4" fillId="0" borderId="1" xfId="0" applyFont="1" applyFill="1" applyBorder="1" applyProtection="1">
      <protection hidden="1"/>
    </xf>
    <xf numFmtId="0" fontId="4" fillId="0" borderId="4" xfId="0" applyFont="1" applyFill="1" applyBorder="1" applyProtection="1">
      <protection hidden="1"/>
    </xf>
    <xf numFmtId="0" fontId="101" fillId="0" borderId="2" xfId="0" applyFont="1" applyFill="1" applyBorder="1" applyProtection="1">
      <protection hidden="1"/>
    </xf>
    <xf numFmtId="0" fontId="4" fillId="0" borderId="19" xfId="0" applyFont="1" applyBorder="1" applyAlignment="1" applyProtection="1">
      <alignment horizontal="center"/>
      <protection hidden="1"/>
    </xf>
    <xf numFmtId="0" fontId="21" fillId="0" borderId="20" xfId="0" applyFont="1" applyBorder="1" applyAlignment="1" applyProtection="1">
      <alignment vertical="center"/>
      <protection hidden="1"/>
    </xf>
    <xf numFmtId="0" fontId="4" fillId="0" borderId="35" xfId="0" applyFont="1" applyBorder="1" applyAlignment="1" applyProtection="1">
      <alignment horizontal="center"/>
      <protection hidden="1"/>
    </xf>
    <xf numFmtId="0" fontId="4" fillId="0" borderId="36" xfId="0" applyFont="1" applyBorder="1" applyAlignment="1" applyProtection="1">
      <protection hidden="1"/>
    </xf>
    <xf numFmtId="0" fontId="4" fillId="0" borderId="40" xfId="0" applyFont="1" applyBorder="1" applyAlignment="1" applyProtection="1">
      <protection hidden="1"/>
    </xf>
    <xf numFmtId="0" fontId="21" fillId="0" borderId="24" xfId="0" applyFont="1" applyBorder="1" applyAlignment="1" applyProtection="1">
      <alignment horizontal="center"/>
      <protection hidden="1"/>
    </xf>
    <xf numFmtId="0" fontId="21" fillId="0" borderId="44" xfId="0" applyFont="1" applyBorder="1" applyAlignment="1" applyProtection="1">
      <protection hidden="1"/>
    </xf>
    <xf numFmtId="0" fontId="21" fillId="0" borderId="45" xfId="0" applyFont="1" applyBorder="1" applyAlignment="1" applyProtection="1">
      <protection hidden="1"/>
    </xf>
    <xf numFmtId="0" fontId="21" fillId="0" borderId="46" xfId="0" applyFont="1" applyBorder="1" applyAlignment="1" applyProtection="1">
      <protection hidden="1"/>
    </xf>
    <xf numFmtId="0" fontId="0" fillId="0" borderId="12" xfId="0" applyBorder="1"/>
    <xf numFmtId="0" fontId="0" fillId="0" borderId="4" xfId="0" applyBorder="1"/>
    <xf numFmtId="0" fontId="101" fillId="0" borderId="0" xfId="0" applyFont="1"/>
    <xf numFmtId="8" fontId="101" fillId="0" borderId="0" xfId="0" applyNumberFormat="1" applyFont="1" applyFill="1" applyBorder="1"/>
    <xf numFmtId="8" fontId="101" fillId="0" borderId="8" xfId="0" applyNumberFormat="1" applyFont="1" applyFill="1" applyBorder="1"/>
    <xf numFmtId="0" fontId="33" fillId="0" borderId="0" xfId="0" applyFont="1" applyBorder="1"/>
    <xf numFmtId="0" fontId="33" fillId="0" borderId="2" xfId="0" applyFont="1" applyBorder="1"/>
    <xf numFmtId="0" fontId="33" fillId="0" borderId="25" xfId="0" applyFont="1" applyBorder="1"/>
    <xf numFmtId="0" fontId="33" fillId="0" borderId="12" xfId="0" applyFont="1" applyBorder="1"/>
    <xf numFmtId="0" fontId="33" fillId="0" borderId="1" xfId="0" applyFont="1" applyBorder="1"/>
    <xf numFmtId="0" fontId="33" fillId="0" borderId="4" xfId="0" applyFont="1" applyBorder="1"/>
    <xf numFmtId="0" fontId="51" fillId="0" borderId="19" xfId="0" applyFont="1" applyBorder="1"/>
    <xf numFmtId="0" fontId="51" fillId="0" borderId="55" xfId="0" applyFont="1" applyBorder="1"/>
    <xf numFmtId="0" fontId="0" fillId="0" borderId="33" xfId="0" applyBorder="1"/>
    <xf numFmtId="0" fontId="0" fillId="0" borderId="47" xfId="0" applyBorder="1"/>
    <xf numFmtId="0" fontId="51" fillId="0" borderId="56" xfId="0" applyFont="1" applyBorder="1"/>
    <xf numFmtId="0" fontId="0" fillId="0" borderId="57" xfId="0" applyBorder="1"/>
    <xf numFmtId="0" fontId="51" fillId="0" borderId="49" xfId="0" applyFont="1" applyBorder="1"/>
    <xf numFmtId="0" fontId="0" fillId="0" borderId="43" xfId="0" applyBorder="1"/>
    <xf numFmtId="0" fontId="0" fillId="0" borderId="48" xfId="0" applyBorder="1"/>
    <xf numFmtId="0" fontId="51" fillId="0" borderId="20" xfId="0" applyFont="1" applyBorder="1"/>
    <xf numFmtId="0" fontId="51" fillId="0" borderId="1" xfId="0" applyFont="1" applyBorder="1"/>
    <xf numFmtId="0" fontId="51" fillId="0" borderId="52" xfId="0" applyFont="1" applyBorder="1"/>
    <xf numFmtId="0" fontId="33" fillId="0" borderId="53" xfId="0" applyFont="1" applyBorder="1"/>
    <xf numFmtId="0" fontId="33" fillId="0" borderId="54" xfId="0" applyFont="1" applyBorder="1"/>
    <xf numFmtId="164" fontId="21" fillId="0" borderId="3" xfId="0" applyNumberFormat="1" applyFont="1" applyFill="1" applyBorder="1" applyAlignment="1" applyProtection="1">
      <alignment horizontal="center"/>
      <protection hidden="1"/>
    </xf>
    <xf numFmtId="0" fontId="51" fillId="0" borderId="32" xfId="0" applyFont="1" applyBorder="1"/>
    <xf numFmtId="0" fontId="111" fillId="0" borderId="0" xfId="0" applyFont="1" applyProtection="1">
      <protection hidden="1"/>
    </xf>
    <xf numFmtId="0" fontId="111" fillId="0" borderId="8" xfId="0" applyFont="1" applyBorder="1" applyAlignment="1">
      <alignment horizontal="center"/>
    </xf>
    <xf numFmtId="0" fontId="111" fillId="0" borderId="0" xfId="0" applyFont="1" applyAlignment="1">
      <alignment horizontal="center"/>
    </xf>
    <xf numFmtId="0" fontId="66" fillId="0" borderId="0" xfId="0" applyFont="1" applyAlignment="1">
      <alignment horizontal="left"/>
    </xf>
    <xf numFmtId="0" fontId="111" fillId="0" borderId="8" xfId="0" applyFont="1" applyFill="1" applyBorder="1" applyAlignment="1">
      <alignment horizontal="center"/>
    </xf>
    <xf numFmtId="0" fontId="111" fillId="0" borderId="27" xfId="0" applyFont="1" applyBorder="1" applyAlignment="1">
      <alignment vertical="center"/>
    </xf>
    <xf numFmtId="0" fontId="66" fillId="0" borderId="20" xfId="0" applyFont="1" applyBorder="1" applyAlignment="1"/>
    <xf numFmtId="0" fontId="66" fillId="0" borderId="1" xfId="0" applyFont="1" applyBorder="1" applyAlignment="1"/>
    <xf numFmtId="0" fontId="66" fillId="0" borderId="4" xfId="0" applyFont="1" applyBorder="1" applyAlignment="1"/>
    <xf numFmtId="0" fontId="111" fillId="0" borderId="26" xfId="0" applyFont="1" applyBorder="1" applyAlignment="1">
      <alignment horizontal="center"/>
    </xf>
    <xf numFmtId="0" fontId="66" fillId="0" borderId="28" xfId="0" applyFont="1" applyBorder="1" applyAlignment="1">
      <alignment horizontal="center"/>
    </xf>
    <xf numFmtId="8" fontId="66" fillId="0" borderId="26" xfId="0" applyNumberFormat="1" applyFont="1" applyBorder="1"/>
    <xf numFmtId="164" fontId="66" fillId="0" borderId="0" xfId="0" applyNumberFormat="1" applyFont="1" applyAlignment="1">
      <alignment horizontal="left"/>
    </xf>
    <xf numFmtId="164" fontId="66" fillId="0" borderId="8" xfId="0" applyNumberFormat="1" applyFont="1" applyBorder="1"/>
    <xf numFmtId="164" fontId="111" fillId="0" borderId="6" xfId="0" applyNumberFormat="1" applyFont="1" applyBorder="1" applyAlignment="1">
      <alignment horizontal="left"/>
    </xf>
    <xf numFmtId="0" fontId="66" fillId="0" borderId="7" xfId="0" applyFont="1" applyBorder="1"/>
    <xf numFmtId="0" fontId="4" fillId="0" borderId="0" xfId="0" applyFont="1" applyFill="1" applyAlignment="1" applyProtection="1">
      <protection hidden="1"/>
    </xf>
    <xf numFmtId="0" fontId="101" fillId="0" borderId="31" xfId="0" applyFont="1" applyFill="1" applyBorder="1" applyAlignment="1" applyProtection="1">
      <protection hidden="1"/>
    </xf>
    <xf numFmtId="0" fontId="101" fillId="0" borderId="33" xfId="0" applyFont="1" applyFill="1" applyBorder="1" applyAlignment="1" applyProtection="1">
      <protection hidden="1"/>
    </xf>
    <xf numFmtId="0" fontId="101" fillId="0" borderId="47" xfId="0" applyFont="1" applyFill="1" applyBorder="1" applyAlignment="1" applyProtection="1">
      <protection hidden="1"/>
    </xf>
    <xf numFmtId="0" fontId="101" fillId="0" borderId="49" xfId="0" applyFont="1" applyFill="1" applyBorder="1" applyAlignment="1" applyProtection="1">
      <protection hidden="1"/>
    </xf>
    <xf numFmtId="0" fontId="101" fillId="0" borderId="0" xfId="0" applyFont="1" applyFill="1" applyBorder="1" applyAlignment="1" applyProtection="1">
      <protection hidden="1"/>
    </xf>
    <xf numFmtId="0" fontId="101" fillId="0" borderId="57" xfId="0" applyFont="1" applyFill="1" applyBorder="1" applyAlignment="1" applyProtection="1">
      <protection hidden="1"/>
    </xf>
    <xf numFmtId="0" fontId="101" fillId="0" borderId="32" xfId="0" applyFont="1" applyFill="1" applyBorder="1" applyAlignment="1" applyProtection="1">
      <protection hidden="1"/>
    </xf>
    <xf numFmtId="0" fontId="101" fillId="0" borderId="43" xfId="0" applyFont="1" applyFill="1" applyBorder="1" applyAlignment="1" applyProtection="1">
      <protection hidden="1"/>
    </xf>
    <xf numFmtId="0" fontId="101" fillId="0" borderId="48" xfId="0" applyFont="1" applyFill="1" applyBorder="1" applyAlignment="1" applyProtection="1">
      <protection hidden="1"/>
    </xf>
    <xf numFmtId="0" fontId="101" fillId="0" borderId="33" xfId="0" applyFont="1" applyBorder="1" applyAlignment="1" applyProtection="1">
      <protection hidden="1"/>
    </xf>
    <xf numFmtId="0" fontId="101" fillId="0" borderId="47" xfId="0" applyFont="1" applyBorder="1" applyAlignment="1" applyProtection="1">
      <protection hidden="1"/>
    </xf>
    <xf numFmtId="0" fontId="101" fillId="0" borderId="0" xfId="0" applyFont="1" applyBorder="1" applyAlignment="1" applyProtection="1">
      <protection hidden="1"/>
    </xf>
    <xf numFmtId="0" fontId="101" fillId="0" borderId="57" xfId="0" applyFont="1" applyBorder="1" applyAlignment="1" applyProtection="1">
      <protection hidden="1"/>
    </xf>
    <xf numFmtId="0" fontId="101" fillId="0" borderId="43" xfId="0" applyFont="1" applyBorder="1" applyAlignment="1" applyProtection="1">
      <protection hidden="1"/>
    </xf>
    <xf numFmtId="0" fontId="101" fillId="0" borderId="48" xfId="0" applyFont="1" applyBorder="1" applyAlignment="1" applyProtection="1">
      <protection hidden="1"/>
    </xf>
    <xf numFmtId="0" fontId="71" fillId="0" borderId="0" xfId="0" applyFont="1" applyAlignment="1">
      <alignment horizontal="left" vertical="top"/>
    </xf>
    <xf numFmtId="0" fontId="51" fillId="0" borderId="8" xfId="0" applyFont="1" applyBorder="1"/>
    <xf numFmtId="0" fontId="114" fillId="0" borderId="0" xfId="0" applyFont="1" applyFill="1" applyBorder="1" applyProtection="1">
      <protection hidden="1"/>
    </xf>
    <xf numFmtId="0" fontId="114" fillId="0" borderId="19" xfId="0" applyFont="1" applyFill="1" applyBorder="1" applyProtection="1">
      <protection hidden="1"/>
    </xf>
    <xf numFmtId="0" fontId="4" fillId="0" borderId="8" xfId="0" applyFont="1" applyBorder="1" applyAlignment="1" applyProtection="1">
      <alignment horizontal="center"/>
      <protection hidden="1"/>
    </xf>
    <xf numFmtId="0" fontId="8" fillId="0" borderId="8" xfId="0" applyFont="1" applyBorder="1" applyAlignment="1" applyProtection="1">
      <alignment horizontal="center"/>
      <protection hidden="1"/>
    </xf>
    <xf numFmtId="164" fontId="4" fillId="0" borderId="8" xfId="0" applyNumberFormat="1" applyFont="1" applyBorder="1" applyAlignment="1" applyProtection="1">
      <alignment horizontal="center"/>
      <protection hidden="1"/>
    </xf>
    <xf numFmtId="0" fontId="51" fillId="0" borderId="27" xfId="0" applyFont="1" applyBorder="1"/>
    <xf numFmtId="10" fontId="4" fillId="0" borderId="0" xfId="0" applyNumberFormat="1" applyFont="1" applyFill="1" applyBorder="1" applyAlignment="1" applyProtection="1">
      <protection hidden="1"/>
    </xf>
    <xf numFmtId="164" fontId="4" fillId="0" borderId="0" xfId="0" applyNumberFormat="1" applyFont="1" applyFill="1" applyBorder="1" applyAlignment="1" applyProtection="1">
      <protection hidden="1"/>
    </xf>
    <xf numFmtId="0" fontId="40" fillId="0" borderId="0" xfId="0" applyFont="1" applyFill="1" applyAlignment="1" applyProtection="1">
      <protection hidden="1"/>
    </xf>
    <xf numFmtId="0" fontId="0" fillId="0" borderId="0" xfId="0" applyProtection="1">
      <protection hidden="1"/>
    </xf>
    <xf numFmtId="0" fontId="9" fillId="0" borderId="0" xfId="0" applyFont="1" applyAlignment="1" applyProtection="1">
      <alignment vertical="center"/>
      <protection hidden="1"/>
    </xf>
    <xf numFmtId="0" fontId="91" fillId="0" borderId="0" xfId="0" applyFont="1" applyAlignment="1" applyProtection="1">
      <protection hidden="1"/>
    </xf>
    <xf numFmtId="0" fontId="67" fillId="6" borderId="0" xfId="1" applyFont="1" applyFill="1" applyAlignment="1" applyProtection="1">
      <alignment horizontal="center"/>
      <protection hidden="1"/>
    </xf>
    <xf numFmtId="0" fontId="92" fillId="7" borderId="0" xfId="0" applyFont="1" applyFill="1" applyAlignment="1">
      <alignment vertical="center"/>
    </xf>
    <xf numFmtId="0" fontId="21" fillId="0" borderId="0" xfId="1" applyFont="1" applyFill="1" applyAlignment="1" applyProtection="1">
      <protection hidden="1"/>
    </xf>
    <xf numFmtId="0" fontId="33" fillId="4" borderId="0" xfId="0" applyFont="1" applyFill="1" applyAlignment="1" applyProtection="1">
      <alignment horizontal="left"/>
      <protection hidden="1"/>
    </xf>
    <xf numFmtId="0" fontId="39" fillId="4" borderId="0" xfId="0" applyFont="1" applyFill="1" applyAlignment="1" applyProtection="1">
      <alignment horizontal="left"/>
      <protection hidden="1"/>
    </xf>
    <xf numFmtId="0" fontId="117" fillId="11" borderId="0" xfId="0" applyFont="1" applyFill="1" applyProtection="1">
      <protection hidden="1"/>
    </xf>
    <xf numFmtId="0" fontId="117" fillId="11" borderId="0" xfId="0" applyFont="1" applyFill="1" applyAlignment="1" applyProtection="1">
      <alignment horizontal="left"/>
      <protection hidden="1"/>
    </xf>
    <xf numFmtId="0" fontId="117" fillId="11" borderId="1" xfId="0" applyFont="1" applyFill="1" applyBorder="1" applyProtection="1">
      <protection hidden="1"/>
    </xf>
    <xf numFmtId="0" fontId="116" fillId="10" borderId="0" xfId="0" applyFont="1" applyFill="1" applyProtection="1">
      <protection hidden="1"/>
    </xf>
    <xf numFmtId="0" fontId="116" fillId="10" borderId="0" xfId="0" applyFont="1" applyFill="1" applyAlignment="1" applyProtection="1">
      <alignment horizontal="left"/>
      <protection hidden="1"/>
    </xf>
    <xf numFmtId="8" fontId="4" fillId="12" borderId="0" xfId="0" applyNumberFormat="1" applyFont="1" applyFill="1" applyBorder="1"/>
    <xf numFmtId="0" fontId="64" fillId="6" borderId="0" xfId="1" applyFont="1" applyFill="1" applyAlignment="1" applyProtection="1">
      <protection locked="0"/>
    </xf>
    <xf numFmtId="0" fontId="4" fillId="0" borderId="0" xfId="0" applyFont="1" applyProtection="1">
      <protection hidden="1"/>
    </xf>
    <xf numFmtId="0" fontId="66" fillId="10" borderId="0" xfId="0" applyFont="1" applyFill="1" applyBorder="1"/>
    <xf numFmtId="8" fontId="64" fillId="7" borderId="0" xfId="0" applyNumberFormat="1" applyFont="1" applyFill="1" applyBorder="1"/>
    <xf numFmtId="0" fontId="0" fillId="0" borderId="0" xfId="0" applyNumberFormat="1" applyFill="1" applyProtection="1">
      <protection hidden="1"/>
    </xf>
    <xf numFmtId="0" fontId="4" fillId="13" borderId="0" xfId="0" applyFont="1" applyFill="1" applyBorder="1" applyProtection="1">
      <protection hidden="1"/>
    </xf>
    <xf numFmtId="0" fontId="58" fillId="0" borderId="8" xfId="1" applyFont="1" applyBorder="1" applyAlignment="1" applyProtection="1">
      <alignment horizontal="center"/>
      <protection locked="0"/>
    </xf>
    <xf numFmtId="0" fontId="4" fillId="0" borderId="0" xfId="0" applyFont="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66" fillId="0" borderId="0" xfId="0" applyFont="1" applyFill="1" applyBorder="1" applyAlignment="1">
      <alignment vertical="center"/>
    </xf>
    <xf numFmtId="0" fontId="66" fillId="0" borderId="0" xfId="0" applyFont="1" applyFill="1" applyBorder="1" applyAlignment="1" applyProtection="1">
      <alignment vertical="center"/>
      <protection hidden="1"/>
    </xf>
    <xf numFmtId="0" fontId="66" fillId="0" borderId="0" xfId="0" applyFont="1" applyFill="1" applyAlignment="1" applyProtection="1">
      <alignment vertical="center"/>
      <protection hidden="1"/>
    </xf>
    <xf numFmtId="0" fontId="66" fillId="0" borderId="0" xfId="0" applyFont="1" applyAlignment="1" applyProtection="1">
      <alignment vertical="center"/>
      <protection hidden="1"/>
    </xf>
    <xf numFmtId="0" fontId="0" fillId="0" borderId="0" xfId="0" applyAlignment="1" applyProtection="1">
      <alignment vertical="center"/>
      <protection hidden="1"/>
    </xf>
    <xf numFmtId="0" fontId="4" fillId="0" borderId="0" xfId="0" applyFont="1" applyAlignment="1" applyProtection="1">
      <alignment vertical="center"/>
      <protection hidden="1"/>
    </xf>
    <xf numFmtId="0" fontId="119" fillId="0" borderId="0" xfId="0" applyFont="1" applyAlignment="1">
      <alignment horizontal="left" vertical="center"/>
    </xf>
    <xf numFmtId="0" fontId="121" fillId="0" borderId="0" xfId="0" applyFont="1"/>
    <xf numFmtId="0" fontId="119" fillId="0" borderId="0" xfId="0" applyFont="1" applyAlignment="1">
      <alignment vertical="center"/>
    </xf>
    <xf numFmtId="0" fontId="119" fillId="0" borderId="0" xfId="0" applyFont="1"/>
    <xf numFmtId="0" fontId="9" fillId="0" borderId="0" xfId="0" applyFont="1" applyAlignment="1" applyProtection="1">
      <alignment horizontal="center"/>
      <protection hidden="1"/>
    </xf>
    <xf numFmtId="0" fontId="21" fillId="0" borderId="1" xfId="0" applyFont="1" applyBorder="1" applyAlignment="1" applyProtection="1">
      <alignment horizontal="left"/>
      <protection hidden="1"/>
    </xf>
    <xf numFmtId="1" fontId="9" fillId="0" borderId="0" xfId="0" applyNumberFormat="1" applyFont="1" applyFill="1" applyBorder="1" applyAlignment="1" applyProtection="1">
      <alignment horizontal="right"/>
      <protection hidden="1"/>
    </xf>
    <xf numFmtId="1" fontId="33" fillId="0" borderId="0" xfId="0" applyNumberFormat="1" applyFont="1" applyFill="1" applyBorder="1" applyAlignment="1" applyProtection="1">
      <alignment horizontal="right"/>
      <protection hidden="1"/>
    </xf>
    <xf numFmtId="0" fontId="106" fillId="0" borderId="0" xfId="0" applyFont="1" applyBorder="1" applyAlignment="1" applyProtection="1">
      <protection hidden="1"/>
    </xf>
    <xf numFmtId="1" fontId="9" fillId="0" borderId="3" xfId="0" applyNumberFormat="1" applyFont="1" applyFill="1" applyBorder="1" applyAlignment="1" applyProtection="1">
      <alignment horizontal="right"/>
      <protection hidden="1"/>
    </xf>
    <xf numFmtId="1" fontId="33" fillId="0" borderId="3" xfId="0" applyNumberFormat="1" applyFont="1" applyFill="1" applyBorder="1" applyAlignment="1" applyProtection="1">
      <alignment horizontal="right"/>
      <protection hidden="1"/>
    </xf>
    <xf numFmtId="1" fontId="21" fillId="0" borderId="0" xfId="0" applyNumberFormat="1" applyFont="1" applyFill="1" applyBorder="1" applyAlignment="1" applyProtection="1">
      <alignment horizontal="right"/>
      <protection hidden="1"/>
    </xf>
    <xf numFmtId="0" fontId="4" fillId="0" borderId="1" xfId="0" applyFont="1" applyBorder="1" applyAlignment="1" applyProtection="1">
      <alignment horizontal="left"/>
      <protection hidden="1"/>
    </xf>
    <xf numFmtId="0" fontId="58" fillId="0" borderId="0" xfId="1" applyFont="1" applyAlignment="1" applyProtection="1">
      <alignment horizontal="center"/>
      <protection locked="0"/>
    </xf>
    <xf numFmtId="0" fontId="58" fillId="0" borderId="0" xfId="1" applyFont="1" applyBorder="1" applyAlignment="1" applyProtection="1">
      <alignment horizontal="center"/>
      <protection locked="0"/>
    </xf>
    <xf numFmtId="0" fontId="58" fillId="0" borderId="0" xfId="1" applyFont="1" applyBorder="1" applyAlignment="1" applyProtection="1">
      <protection hidden="1"/>
    </xf>
    <xf numFmtId="2" fontId="4" fillId="7" borderId="0" xfId="0" applyNumberFormat="1" applyFont="1" applyFill="1" applyBorder="1"/>
    <xf numFmtId="0" fontId="9" fillId="0" borderId="1" xfId="0" applyNumberFormat="1" applyFont="1" applyFill="1" applyBorder="1" applyAlignment="1" applyProtection="1">
      <alignment horizontal="right"/>
      <protection locked="0"/>
    </xf>
    <xf numFmtId="0" fontId="33" fillId="0" borderId="1" xfId="0" applyNumberFormat="1" applyFont="1" applyFill="1" applyBorder="1" applyAlignment="1" applyProtection="1">
      <alignment horizontal="right"/>
      <protection locked="0"/>
    </xf>
    <xf numFmtId="0" fontId="33" fillId="0" borderId="3" xfId="0" applyNumberFormat="1" applyFont="1" applyFill="1" applyBorder="1" applyAlignment="1" applyProtection="1">
      <alignment horizontal="right"/>
      <protection locked="0"/>
    </xf>
    <xf numFmtId="0" fontId="33" fillId="0" borderId="0" xfId="0" applyNumberFormat="1" applyFont="1" applyFill="1" applyBorder="1" applyAlignment="1" applyProtection="1">
      <alignment horizontal="right"/>
      <protection locked="0"/>
    </xf>
    <xf numFmtId="0" fontId="21" fillId="0" borderId="1" xfId="0" applyNumberFormat="1" applyFont="1" applyFill="1" applyBorder="1" applyAlignment="1" applyProtection="1">
      <alignment horizontal="right"/>
      <protection locked="0"/>
    </xf>
    <xf numFmtId="0" fontId="21" fillId="0" borderId="2" xfId="0" applyNumberFormat="1" applyFont="1" applyFill="1" applyBorder="1" applyAlignment="1" applyProtection="1">
      <alignment horizontal="right"/>
      <protection locked="0"/>
    </xf>
    <xf numFmtId="0" fontId="21" fillId="0" borderId="3" xfId="0" applyNumberFormat="1" applyFont="1" applyFill="1" applyBorder="1" applyAlignment="1" applyProtection="1">
      <alignment horizontal="right"/>
      <protection locked="0"/>
    </xf>
    <xf numFmtId="0" fontId="33" fillId="0" borderId="10" xfId="0" applyFont="1" applyBorder="1" applyAlignment="1" applyProtection="1">
      <alignment horizontal="center"/>
      <protection locked="0"/>
    </xf>
    <xf numFmtId="164" fontId="4" fillId="9" borderId="0" xfId="0" applyNumberFormat="1" applyFont="1" applyFill="1" applyBorder="1"/>
    <xf numFmtId="8" fontId="4" fillId="9" borderId="0" xfId="0" applyNumberFormat="1" applyFont="1" applyFill="1" applyBorder="1"/>
    <xf numFmtId="164" fontId="9" fillId="0" borderId="14" xfId="0" applyNumberFormat="1" applyFont="1" applyBorder="1" applyAlignment="1" applyProtection="1">
      <alignment horizontal="center"/>
      <protection locked="0"/>
    </xf>
    <xf numFmtId="1" fontId="4" fillId="7" borderId="0" xfId="0" applyNumberFormat="1" applyFont="1" applyFill="1" applyBorder="1"/>
    <xf numFmtId="3" fontId="4" fillId="7" borderId="0" xfId="0" applyNumberFormat="1" applyFont="1" applyFill="1" applyBorder="1"/>
    <xf numFmtId="164" fontId="4" fillId="7" borderId="0" xfId="0" applyNumberFormat="1" applyFont="1" applyFill="1" applyBorder="1"/>
    <xf numFmtId="164" fontId="0" fillId="0" borderId="0" xfId="0" applyNumberFormat="1" applyBorder="1" applyProtection="1">
      <protection hidden="1"/>
    </xf>
    <xf numFmtId="164" fontId="0" fillId="0" borderId="19" xfId="0" applyNumberFormat="1" applyBorder="1" applyProtection="1">
      <protection hidden="1"/>
    </xf>
    <xf numFmtId="0" fontId="0" fillId="0" borderId="0" xfId="0" applyProtection="1">
      <protection hidden="1"/>
    </xf>
    <xf numFmtId="0" fontId="9" fillId="0" borderId="0" xfId="0" applyFont="1" applyAlignment="1" applyProtection="1">
      <alignment horizontal="right"/>
      <protection hidden="1"/>
    </xf>
    <xf numFmtId="0" fontId="4" fillId="0" borderId="0" xfId="0" applyFont="1" applyProtection="1">
      <protection hidden="1"/>
    </xf>
    <xf numFmtId="0" fontId="40" fillId="0" borderId="0" xfId="0" applyFont="1" applyFill="1" applyBorder="1" applyAlignment="1" applyProtection="1">
      <alignment horizontal="center"/>
      <protection hidden="1"/>
    </xf>
    <xf numFmtId="0" fontId="40" fillId="0" borderId="0" xfId="0" applyFont="1" applyBorder="1" applyAlignment="1" applyProtection="1">
      <alignment horizontal="right"/>
      <protection hidden="1"/>
    </xf>
    <xf numFmtId="0" fontId="40" fillId="0" borderId="0" xfId="0" applyFont="1" applyAlignment="1" applyProtection="1">
      <alignment horizontal="right"/>
      <protection hidden="1"/>
    </xf>
    <xf numFmtId="0" fontId="16" fillId="0" borderId="0" xfId="1" applyFont="1" applyAlignment="1" applyProtection="1">
      <protection hidden="1"/>
    </xf>
    <xf numFmtId="0" fontId="125" fillId="0" borderId="0" xfId="1" applyFont="1" applyAlignment="1" applyProtection="1">
      <alignment horizontal="right"/>
      <protection hidden="1"/>
    </xf>
    <xf numFmtId="0" fontId="4" fillId="0" borderId="6" xfId="0" applyFont="1" applyBorder="1" applyProtection="1">
      <protection hidden="1"/>
    </xf>
    <xf numFmtId="0" fontId="0" fillId="0" borderId="3" xfId="0" applyBorder="1" applyProtection="1">
      <protection hidden="1"/>
    </xf>
    <xf numFmtId="164" fontId="0" fillId="0" borderId="3" xfId="0" applyNumberFormat="1" applyBorder="1" applyProtection="1">
      <protection hidden="1"/>
    </xf>
    <xf numFmtId="164" fontId="0" fillId="0" borderId="7" xfId="0" applyNumberFormat="1" applyBorder="1" applyProtection="1">
      <protection hidden="1"/>
    </xf>
    <xf numFmtId="10" fontId="0" fillId="0" borderId="0" xfId="0" applyNumberFormat="1" applyProtection="1">
      <protection hidden="1"/>
    </xf>
    <xf numFmtId="0" fontId="51" fillId="0" borderId="13" xfId="0" applyNumberFormat="1" applyFont="1" applyFill="1" applyBorder="1" applyAlignment="1" applyProtection="1">
      <protection hidden="1"/>
    </xf>
    <xf numFmtId="0" fontId="79" fillId="0" borderId="58" xfId="0" applyFont="1" applyBorder="1" applyAlignment="1" applyProtection="1">
      <alignment horizontal="right"/>
      <protection hidden="1"/>
    </xf>
    <xf numFmtId="0" fontId="128" fillId="16" borderId="8" xfId="0" applyNumberFormat="1" applyFont="1" applyFill="1" applyBorder="1" applyAlignment="1" applyProtection="1">
      <alignment horizontal="left"/>
      <protection locked="0"/>
    </xf>
    <xf numFmtId="0" fontId="59" fillId="0" borderId="8" xfId="0" applyFont="1" applyFill="1" applyBorder="1" applyAlignment="1" applyProtection="1">
      <alignment horizontal="center"/>
      <protection hidden="1"/>
    </xf>
    <xf numFmtId="0" fontId="129" fillId="4" borderId="8" xfId="0" applyFont="1" applyFill="1" applyBorder="1" applyAlignment="1" applyProtection="1">
      <alignment horizontal="center"/>
      <protection hidden="1"/>
    </xf>
    <xf numFmtId="0" fontId="129" fillId="4" borderId="6" xfId="0" applyFont="1" applyFill="1" applyBorder="1" applyAlignment="1" applyProtection="1">
      <alignment horizontal="center"/>
      <protection hidden="1"/>
    </xf>
    <xf numFmtId="0" fontId="129" fillId="4" borderId="8" xfId="0" applyFont="1" applyFill="1" applyBorder="1" applyAlignment="1" applyProtection="1">
      <protection hidden="1"/>
    </xf>
    <xf numFmtId="164" fontId="59" fillId="4" borderId="4" xfId="0" applyNumberFormat="1" applyFont="1" applyFill="1" applyBorder="1" applyAlignment="1" applyProtection="1">
      <alignment horizontal="center"/>
      <protection hidden="1"/>
    </xf>
    <xf numFmtId="0" fontId="129" fillId="0" borderId="8" xfId="0" applyFont="1" applyBorder="1" applyAlignment="1" applyProtection="1">
      <alignment horizontal="right"/>
      <protection hidden="1"/>
    </xf>
    <xf numFmtId="164" fontId="130" fillId="0" borderId="28" xfId="0" applyNumberFormat="1" applyFont="1" applyBorder="1" applyAlignment="1" applyProtection="1">
      <alignment horizontal="center"/>
      <protection hidden="1"/>
    </xf>
    <xf numFmtId="164" fontId="130" fillId="16" borderId="59" xfId="0" applyNumberFormat="1" applyFont="1" applyFill="1" applyBorder="1" applyAlignment="1" applyProtection="1">
      <alignment horizontal="right"/>
      <protection locked="0"/>
    </xf>
    <xf numFmtId="164" fontId="130" fillId="16" borderId="60" xfId="0" applyNumberFormat="1" applyFont="1" applyFill="1" applyBorder="1" applyAlignment="1" applyProtection="1">
      <alignment horizontal="right"/>
      <protection locked="0"/>
    </xf>
    <xf numFmtId="164" fontId="130" fillId="16" borderId="61" xfId="0" applyNumberFormat="1" applyFont="1" applyFill="1" applyBorder="1" applyAlignment="1" applyProtection="1">
      <alignment horizontal="right"/>
      <protection locked="0"/>
    </xf>
    <xf numFmtId="164" fontId="0" fillId="0" borderId="8" xfId="0" applyNumberFormat="1" applyBorder="1" applyProtection="1">
      <protection hidden="1"/>
    </xf>
    <xf numFmtId="0" fontId="0" fillId="0" borderId="28" xfId="0" applyBorder="1" applyProtection="1">
      <protection hidden="1"/>
    </xf>
    <xf numFmtId="164" fontId="0" fillId="0" borderId="28" xfId="0" applyNumberFormat="1" applyBorder="1" applyProtection="1">
      <protection hidden="1"/>
    </xf>
    <xf numFmtId="0" fontId="0" fillId="0" borderId="8" xfId="0" applyBorder="1" applyProtection="1">
      <protection hidden="1"/>
    </xf>
    <xf numFmtId="0" fontId="58" fillId="0" borderId="0" xfId="0" applyFont="1" applyFill="1" applyBorder="1" applyAlignment="1" applyProtection="1">
      <alignment horizontal="center"/>
      <protection hidden="1"/>
    </xf>
    <xf numFmtId="164" fontId="58" fillId="0" borderId="0" xfId="0" applyNumberFormat="1" applyFont="1" applyFill="1" applyBorder="1" applyAlignment="1" applyProtection="1">
      <alignment horizontal="center"/>
      <protection hidden="1"/>
    </xf>
    <xf numFmtId="0" fontId="61" fillId="0" borderId="26" xfId="0" applyFont="1" applyBorder="1" applyAlignment="1" applyProtection="1">
      <alignment horizontal="center"/>
      <protection hidden="1"/>
    </xf>
    <xf numFmtId="0" fontId="61" fillId="0" borderId="8" xfId="0" applyFont="1" applyBorder="1" applyAlignment="1" applyProtection="1">
      <alignment horizontal="center"/>
      <protection hidden="1"/>
    </xf>
    <xf numFmtId="0" fontId="132" fillId="0" borderId="0" xfId="0" applyFont="1" applyAlignment="1" applyProtection="1">
      <alignment horizontal="right"/>
      <protection hidden="1"/>
    </xf>
    <xf numFmtId="1" fontId="51" fillId="0" borderId="0" xfId="0" applyNumberFormat="1" applyFont="1" applyBorder="1" applyAlignment="1" applyProtection="1">
      <alignment horizontal="center"/>
      <protection hidden="1"/>
    </xf>
    <xf numFmtId="164" fontId="133" fillId="0" borderId="0" xfId="0" applyNumberFormat="1" applyFont="1" applyProtection="1">
      <protection hidden="1"/>
    </xf>
    <xf numFmtId="164" fontId="57" fillId="0" borderId="8" xfId="0" applyNumberFormat="1" applyFont="1" applyBorder="1" applyAlignment="1" applyProtection="1">
      <alignment vertical="center"/>
      <protection hidden="1"/>
    </xf>
    <xf numFmtId="164" fontId="0" fillId="0" borderId="27" xfId="0" applyNumberFormat="1" applyBorder="1" applyProtection="1">
      <protection hidden="1"/>
    </xf>
    <xf numFmtId="0" fontId="134" fillId="0" borderId="0" xfId="0" applyFont="1" applyBorder="1" applyAlignment="1" applyProtection="1">
      <alignment horizontal="center"/>
      <protection hidden="1"/>
    </xf>
    <xf numFmtId="0" fontId="132" fillId="0" borderId="0" xfId="0" applyFont="1" applyBorder="1" applyAlignment="1" applyProtection="1">
      <alignment horizontal="center"/>
      <protection hidden="1"/>
    </xf>
    <xf numFmtId="1" fontId="0" fillId="0" borderId="8" xfId="0" applyNumberFormat="1" applyBorder="1" applyAlignment="1" applyProtection="1">
      <alignment horizontal="center"/>
      <protection locked="0"/>
    </xf>
    <xf numFmtId="1" fontId="0" fillId="0" borderId="7" xfId="0" applyNumberFormat="1" applyBorder="1" applyAlignment="1" applyProtection="1">
      <alignment horizontal="center"/>
      <protection locked="0"/>
    </xf>
    <xf numFmtId="0" fontId="0" fillId="0" borderId="0" xfId="0" applyBorder="1" applyProtection="1">
      <protection hidden="1"/>
    </xf>
    <xf numFmtId="0" fontId="40" fillId="0" borderId="1" xfId="0" applyFont="1" applyBorder="1" applyProtection="1">
      <protection hidden="1"/>
    </xf>
    <xf numFmtId="0" fontId="51" fillId="0" borderId="1" xfId="0" applyFont="1" applyBorder="1" applyProtection="1">
      <protection hidden="1"/>
    </xf>
    <xf numFmtId="0" fontId="51" fillId="0" borderId="0" xfId="0" applyFont="1" applyAlignment="1" applyProtection="1">
      <alignment horizontal="right"/>
      <protection hidden="1"/>
    </xf>
    <xf numFmtId="0" fontId="37" fillId="0" borderId="0" xfId="0" quotePrefix="1" applyFont="1" applyProtection="1">
      <protection hidden="1"/>
    </xf>
    <xf numFmtId="0" fontId="4" fillId="0" borderId="0" xfId="0" quotePrefix="1" applyFont="1" applyProtection="1">
      <protection hidden="1"/>
    </xf>
    <xf numFmtId="168" fontId="0" fillId="0" borderId="0" xfId="0" applyNumberFormat="1" applyProtection="1">
      <protection hidden="1"/>
    </xf>
    <xf numFmtId="14" fontId="0" fillId="0" borderId="0" xfId="0" applyNumberFormat="1" applyAlignment="1" applyProtection="1">
      <alignment horizontal="center"/>
      <protection hidden="1"/>
    </xf>
    <xf numFmtId="20"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0" fillId="0" borderId="62" xfId="0" applyBorder="1" applyProtection="1">
      <protection hidden="1"/>
    </xf>
    <xf numFmtId="0" fontId="0" fillId="0" borderId="57" xfId="0" applyBorder="1" applyProtection="1">
      <protection hidden="1"/>
    </xf>
    <xf numFmtId="0" fontId="0" fillId="0" borderId="63" xfId="0" applyBorder="1" applyProtection="1">
      <protection hidden="1"/>
    </xf>
    <xf numFmtId="0" fontId="21" fillId="17" borderId="8" xfId="0" applyFont="1" applyFill="1" applyBorder="1" applyAlignment="1" applyProtection="1">
      <alignment horizontal="center"/>
      <protection hidden="1"/>
    </xf>
    <xf numFmtId="0" fontId="8" fillId="0" borderId="8" xfId="0" applyFont="1" applyBorder="1" applyProtection="1">
      <protection hidden="1"/>
    </xf>
    <xf numFmtId="14" fontId="0" fillId="0" borderId="8" xfId="0" applyNumberFormat="1" applyBorder="1" applyProtection="1">
      <protection hidden="1"/>
    </xf>
    <xf numFmtId="168" fontId="0" fillId="0" borderId="8" xfId="0" applyNumberFormat="1" applyBorder="1" applyProtection="1">
      <protection hidden="1"/>
    </xf>
    <xf numFmtId="14" fontId="0" fillId="0" borderId="26" xfId="0" applyNumberFormat="1" applyBorder="1" applyProtection="1">
      <protection hidden="1"/>
    </xf>
    <xf numFmtId="164" fontId="0" fillId="0" borderId="0" xfId="0" applyNumberFormat="1" applyAlignment="1" applyProtection="1">
      <alignment horizontal="center"/>
      <protection hidden="1"/>
    </xf>
    <xf numFmtId="0" fontId="16" fillId="0" borderId="0" xfId="1" applyFill="1" applyBorder="1" applyAlignment="1" applyProtection="1">
      <alignment horizontal="right"/>
      <protection hidden="1"/>
    </xf>
    <xf numFmtId="1" fontId="51" fillId="16" borderId="8" xfId="0" applyNumberFormat="1" applyFont="1" applyFill="1" applyBorder="1" applyAlignment="1" applyProtection="1">
      <alignment horizontal="center"/>
      <protection locked="0"/>
    </xf>
    <xf numFmtId="0" fontId="133" fillId="0" borderId="0" xfId="0" applyFont="1" applyBorder="1" applyAlignment="1" applyProtection="1">
      <alignment horizontal="right"/>
      <protection hidden="1"/>
    </xf>
    <xf numFmtId="164" fontId="131" fillId="4" borderId="3" xfId="0" applyNumberFormat="1" applyFont="1" applyFill="1" applyBorder="1" applyAlignment="1" applyProtection="1">
      <alignment horizontal="right"/>
      <protection hidden="1"/>
    </xf>
    <xf numFmtId="164" fontId="131" fillId="4" borderId="8" xfId="0" applyNumberFormat="1" applyFont="1" applyFill="1" applyBorder="1" applyAlignment="1" applyProtection="1">
      <alignment horizontal="right"/>
      <protection hidden="1"/>
    </xf>
    <xf numFmtId="164" fontId="51" fillId="0" borderId="28" xfId="0" applyNumberFormat="1" applyFont="1" applyBorder="1" applyProtection="1">
      <protection hidden="1"/>
    </xf>
    <xf numFmtId="1" fontId="51" fillId="0" borderId="3" xfId="0" applyNumberFormat="1" applyFont="1" applyBorder="1" applyAlignment="1" applyProtection="1">
      <alignment horizontal="center"/>
      <protection hidden="1"/>
    </xf>
    <xf numFmtId="164" fontId="133" fillId="0" borderId="7" xfId="0" applyNumberFormat="1" applyFont="1" applyBorder="1" applyAlignment="1" applyProtection="1">
      <alignment horizontal="center"/>
      <protection hidden="1"/>
    </xf>
    <xf numFmtId="0" fontId="0" fillId="0" borderId="0" xfId="0" applyNumberFormat="1" applyProtection="1">
      <protection hidden="1"/>
    </xf>
    <xf numFmtId="164" fontId="0" fillId="4" borderId="0" xfId="0" applyNumberFormat="1" applyFill="1" applyProtection="1">
      <protection hidden="1"/>
    </xf>
    <xf numFmtId="164" fontId="134" fillId="0" borderId="0" xfId="0" applyNumberFormat="1" applyFont="1" applyBorder="1" applyAlignment="1" applyProtection="1">
      <protection hidden="1"/>
    </xf>
    <xf numFmtId="10" fontId="131" fillId="4" borderId="7" xfId="0" applyNumberFormat="1" applyFont="1" applyFill="1" applyBorder="1" applyAlignment="1" applyProtection="1">
      <alignment horizontal="left"/>
      <protection locked="0"/>
    </xf>
    <xf numFmtId="0" fontId="132" fillId="0" borderId="8" xfId="0" applyFont="1" applyBorder="1" applyAlignment="1" applyProtection="1">
      <alignment horizontal="right"/>
      <protection hidden="1"/>
    </xf>
    <xf numFmtId="0" fontId="41" fillId="0" borderId="8" xfId="0" applyFont="1" applyBorder="1" applyAlignment="1" applyProtection="1">
      <alignment horizontal="right"/>
      <protection hidden="1"/>
    </xf>
    <xf numFmtId="0" fontId="4" fillId="14" borderId="0" xfId="0" applyFont="1" applyFill="1" applyProtection="1">
      <protection hidden="1"/>
    </xf>
    <xf numFmtId="164" fontId="131" fillId="16" borderId="27" xfId="0" applyNumberFormat="1" applyFont="1" applyFill="1" applyBorder="1" applyAlignment="1" applyProtection="1">
      <alignment horizontal="right"/>
      <protection locked="0"/>
    </xf>
    <xf numFmtId="164" fontId="131" fillId="16" borderId="20" xfId="0" applyNumberFormat="1" applyFont="1" applyFill="1" applyBorder="1" applyAlignment="1" applyProtection="1">
      <alignment horizontal="right"/>
      <protection locked="0"/>
    </xf>
    <xf numFmtId="164" fontId="137" fillId="16" borderId="25" xfId="0" applyNumberFormat="1" applyFont="1" applyFill="1" applyBorder="1" applyAlignment="1" applyProtection="1">
      <alignment horizontal="right"/>
      <protection locked="0"/>
    </xf>
    <xf numFmtId="164" fontId="137" fillId="16" borderId="26" xfId="0" applyNumberFormat="1" applyFont="1" applyFill="1" applyBorder="1" applyAlignment="1" applyProtection="1">
      <alignment horizontal="right"/>
      <protection locked="0"/>
    </xf>
    <xf numFmtId="164" fontId="137" fillId="16" borderId="24" xfId="0" applyNumberFormat="1" applyFont="1" applyFill="1" applyBorder="1" applyAlignment="1" applyProtection="1">
      <alignment horizontal="right"/>
      <protection locked="0"/>
    </xf>
    <xf numFmtId="0" fontId="0" fillId="0" borderId="0" xfId="0" applyProtection="1">
      <protection hidden="1"/>
    </xf>
    <xf numFmtId="164" fontId="40" fillId="16" borderId="26" xfId="0" applyNumberFormat="1" applyFont="1" applyFill="1" applyBorder="1" applyAlignment="1" applyProtection="1">
      <alignment horizontal="center" vertical="center"/>
      <protection locked="0"/>
    </xf>
    <xf numFmtId="164" fontId="129" fillId="4" borderId="7" xfId="0" applyNumberFormat="1" applyFont="1" applyFill="1" applyBorder="1" applyAlignment="1" applyProtection="1">
      <alignment horizontal="center" vertical="center"/>
      <protection hidden="1"/>
    </xf>
    <xf numFmtId="164" fontId="40" fillId="16" borderId="8" xfId="0" applyNumberFormat="1" applyFont="1" applyFill="1" applyBorder="1" applyAlignment="1" applyProtection="1">
      <alignment horizontal="center" vertical="center"/>
      <protection locked="0"/>
    </xf>
    <xf numFmtId="1" fontId="51" fillId="16" borderId="12" xfId="0" applyNumberFormat="1" applyFont="1" applyFill="1" applyBorder="1" applyAlignment="1" applyProtection="1">
      <alignment horizontal="center"/>
      <protection locked="0"/>
    </xf>
    <xf numFmtId="0" fontId="21" fillId="0" borderId="19" xfId="0" applyFont="1" applyBorder="1" applyAlignment="1" applyProtection="1">
      <alignment horizontal="right"/>
      <protection hidden="1"/>
    </xf>
    <xf numFmtId="164" fontId="40" fillId="0" borderId="12" xfId="0" applyNumberFormat="1" applyFont="1" applyBorder="1" applyAlignment="1" applyProtection="1">
      <alignment horizontal="center"/>
      <protection hidden="1"/>
    </xf>
    <xf numFmtId="0" fontId="40" fillId="0" borderId="20" xfId="0" applyFont="1" applyFill="1" applyBorder="1" applyAlignment="1" applyProtection="1">
      <alignment horizontal="center"/>
      <protection hidden="1"/>
    </xf>
    <xf numFmtId="0" fontId="40" fillId="0" borderId="1" xfId="0" applyFont="1" applyFill="1" applyBorder="1" applyAlignment="1" applyProtection="1">
      <alignment horizontal="center"/>
      <protection hidden="1"/>
    </xf>
    <xf numFmtId="0" fontId="51" fillId="4" borderId="8" xfId="0" applyFont="1" applyFill="1" applyBorder="1" applyAlignment="1" applyProtection="1">
      <alignment horizontal="center" vertical="center"/>
      <protection hidden="1"/>
    </xf>
    <xf numFmtId="0" fontId="51" fillId="4" borderId="8" xfId="0" applyFont="1" applyFill="1" applyBorder="1" applyAlignment="1" applyProtection="1">
      <alignment vertical="center"/>
      <protection hidden="1"/>
    </xf>
    <xf numFmtId="164" fontId="58" fillId="0" borderId="8" xfId="0" applyNumberFormat="1" applyFont="1" applyBorder="1" applyAlignment="1" applyProtection="1">
      <alignment horizontal="center" vertical="center"/>
      <protection hidden="1"/>
    </xf>
    <xf numFmtId="0" fontId="16" fillId="0" borderId="0" xfId="1" applyAlignment="1" applyProtection="1">
      <protection locked="0"/>
    </xf>
    <xf numFmtId="0" fontId="37" fillId="0" borderId="0" xfId="0" quotePrefix="1" applyFont="1" applyAlignment="1" applyProtection="1">
      <protection hidden="1"/>
    </xf>
    <xf numFmtId="0" fontId="10" fillId="0" borderId="0" xfId="0" applyFont="1" applyAlignment="1" applyProtection="1">
      <alignment horizontal="center" vertical="center"/>
      <protection hidden="1"/>
    </xf>
    <xf numFmtId="164" fontId="0" fillId="0" borderId="28" xfId="0" applyNumberFormat="1" applyFill="1" applyBorder="1" applyProtection="1">
      <protection hidden="1"/>
    </xf>
    <xf numFmtId="164" fontId="0" fillId="0" borderId="0" xfId="0" applyNumberFormat="1" applyFill="1" applyProtection="1">
      <protection hidden="1"/>
    </xf>
    <xf numFmtId="164" fontId="0" fillId="4" borderId="6" xfId="0" applyNumberFormat="1" applyFill="1" applyBorder="1" applyProtection="1">
      <protection hidden="1"/>
    </xf>
    <xf numFmtId="164" fontId="4" fillId="4" borderId="24" xfId="0" applyNumberFormat="1" applyFont="1" applyFill="1" applyBorder="1" applyProtection="1">
      <protection hidden="1"/>
    </xf>
    <xf numFmtId="164" fontId="0" fillId="4" borderId="20" xfId="0" applyNumberFormat="1" applyFill="1" applyBorder="1" applyProtection="1">
      <protection hidden="1"/>
    </xf>
    <xf numFmtId="164" fontId="66" fillId="11" borderId="8" xfId="0" applyNumberFormat="1" applyFont="1" applyFill="1" applyBorder="1" applyProtection="1">
      <protection hidden="1"/>
    </xf>
    <xf numFmtId="164" fontId="66" fillId="19" borderId="8" xfId="0" applyNumberFormat="1" applyFont="1" applyFill="1" applyBorder="1" applyProtection="1">
      <protection hidden="1"/>
    </xf>
    <xf numFmtId="164" fontId="66" fillId="18" borderId="8" xfId="0" applyNumberFormat="1" applyFont="1" applyFill="1" applyBorder="1" applyProtection="1">
      <protection hidden="1"/>
    </xf>
    <xf numFmtId="164" fontId="66" fillId="18" borderId="27" xfId="0" applyNumberFormat="1" applyFont="1" applyFill="1" applyBorder="1" applyProtection="1">
      <protection hidden="1"/>
    </xf>
    <xf numFmtId="0" fontId="66" fillId="19" borderId="26" xfId="0" applyFont="1" applyFill="1" applyBorder="1" applyProtection="1">
      <protection hidden="1"/>
    </xf>
    <xf numFmtId="0" fontId="66" fillId="11" borderId="26" xfId="0" applyFont="1" applyFill="1" applyBorder="1" applyProtection="1">
      <protection hidden="1"/>
    </xf>
    <xf numFmtId="164" fontId="137" fillId="16" borderId="3" xfId="0" applyNumberFormat="1" applyFont="1" applyFill="1" applyBorder="1" applyProtection="1">
      <protection locked="0"/>
    </xf>
    <xf numFmtId="164" fontId="138" fillId="0" borderId="0" xfId="0" applyNumberFormat="1" applyFont="1" applyBorder="1" applyAlignment="1" applyProtection="1">
      <protection hidden="1"/>
    </xf>
    <xf numFmtId="164" fontId="0" fillId="0" borderId="8" xfId="0" applyNumberFormat="1" applyFill="1" applyBorder="1" applyProtection="1">
      <protection hidden="1"/>
    </xf>
    <xf numFmtId="0" fontId="21" fillId="0" borderId="20" xfId="0" applyFont="1" applyBorder="1" applyAlignment="1" applyProtection="1">
      <alignment horizontal="center"/>
      <protection hidden="1"/>
    </xf>
    <xf numFmtId="164" fontId="41" fillId="0" borderId="7" xfId="0" applyNumberFormat="1" applyFont="1" applyBorder="1" applyProtection="1">
      <protection hidden="1"/>
    </xf>
    <xf numFmtId="164" fontId="123" fillId="4" borderId="8" xfId="0" applyNumberFormat="1" applyFont="1" applyFill="1" applyBorder="1" applyAlignment="1" applyProtection="1">
      <alignment horizontal="center" vertical="center"/>
      <protection hidden="1"/>
    </xf>
    <xf numFmtId="0" fontId="4" fillId="0" borderId="0" xfId="0" applyFont="1" applyProtection="1">
      <protection hidden="1"/>
    </xf>
    <xf numFmtId="0" fontId="0" fillId="0" borderId="0" xfId="0" applyProtection="1">
      <protection hidden="1"/>
    </xf>
    <xf numFmtId="164" fontId="0" fillId="4" borderId="8" xfId="0" applyNumberFormat="1" applyFill="1" applyBorder="1" applyAlignment="1" applyProtection="1">
      <alignment horizontal="center"/>
      <protection locked="0"/>
    </xf>
    <xf numFmtId="0" fontId="23" fillId="0" borderId="0" xfId="0" applyFont="1" applyProtection="1">
      <protection hidden="1"/>
    </xf>
    <xf numFmtId="0" fontId="124" fillId="0" borderId="0" xfId="0" applyFont="1" applyProtection="1">
      <protection hidden="1"/>
    </xf>
    <xf numFmtId="0" fontId="66" fillId="11" borderId="0" xfId="0" applyFont="1" applyFill="1" applyAlignment="1" applyProtection="1">
      <alignment horizontal="right"/>
      <protection hidden="1"/>
    </xf>
    <xf numFmtId="0" fontId="111" fillId="19" borderId="25" xfId="0" applyFont="1" applyFill="1" applyBorder="1" applyProtection="1">
      <protection hidden="1"/>
    </xf>
    <xf numFmtId="164" fontId="124" fillId="0" borderId="4" xfId="0" applyNumberFormat="1" applyFont="1" applyBorder="1" applyProtection="1">
      <protection hidden="1"/>
    </xf>
    <xf numFmtId="0" fontId="0" fillId="0" borderId="12" xfId="0" applyBorder="1" applyProtection="1">
      <protection hidden="1"/>
    </xf>
    <xf numFmtId="0" fontId="4" fillId="0" borderId="0" xfId="0" applyFont="1" applyAlignment="1" applyProtection="1">
      <alignment horizontal="right"/>
      <protection hidden="1"/>
    </xf>
    <xf numFmtId="164" fontId="0" fillId="0" borderId="12" xfId="0" applyNumberFormat="1" applyBorder="1" applyProtection="1">
      <protection hidden="1"/>
    </xf>
    <xf numFmtId="10" fontId="0" fillId="0" borderId="19" xfId="0" applyNumberFormat="1" applyBorder="1" applyProtection="1">
      <protection hidden="1"/>
    </xf>
    <xf numFmtId="10" fontId="0" fillId="0" borderId="0" xfId="0" applyNumberFormat="1" applyBorder="1" applyProtection="1">
      <protection hidden="1"/>
    </xf>
    <xf numFmtId="10" fontId="0" fillId="0" borderId="12" xfId="0" applyNumberFormat="1" applyBorder="1" applyProtection="1">
      <protection hidden="1"/>
    </xf>
    <xf numFmtId="0" fontId="139" fillId="0" borderId="24" xfId="0" applyFont="1" applyFill="1" applyBorder="1" applyAlignment="1" applyProtection="1">
      <alignment wrapText="1"/>
      <protection hidden="1"/>
    </xf>
    <xf numFmtId="0" fontId="139" fillId="0" borderId="2" xfId="0" applyFont="1" applyFill="1" applyBorder="1" applyAlignment="1" applyProtection="1">
      <alignment wrapText="1"/>
      <protection hidden="1"/>
    </xf>
    <xf numFmtId="0" fontId="139" fillId="0" borderId="25" xfId="0" applyFont="1" applyFill="1" applyBorder="1" applyAlignment="1" applyProtection="1">
      <alignment wrapText="1"/>
      <protection hidden="1"/>
    </xf>
    <xf numFmtId="0" fontId="139" fillId="0" borderId="0" xfId="0" applyFont="1" applyFill="1" applyBorder="1" applyAlignment="1" applyProtection="1">
      <alignment wrapText="1"/>
      <protection hidden="1"/>
    </xf>
    <xf numFmtId="0" fontId="66" fillId="11" borderId="19" xfId="0" applyFont="1" applyFill="1" applyBorder="1" applyProtection="1">
      <protection hidden="1"/>
    </xf>
    <xf numFmtId="0" fontId="66" fillId="11" borderId="0" xfId="0" applyFont="1" applyFill="1" applyBorder="1" applyAlignment="1" applyProtection="1">
      <alignment horizontal="center"/>
      <protection hidden="1"/>
    </xf>
    <xf numFmtId="0" fontId="66" fillId="11" borderId="0" xfId="0" applyFont="1" applyFill="1" applyBorder="1" applyProtection="1">
      <protection hidden="1"/>
    </xf>
    <xf numFmtId="164" fontId="0" fillId="0" borderId="8" xfId="0" applyNumberFormat="1" applyBorder="1" applyAlignment="1" applyProtection="1">
      <alignment horizontal="center"/>
      <protection hidden="1"/>
    </xf>
    <xf numFmtId="0" fontId="0" fillId="0" borderId="4" xfId="0" applyBorder="1" applyProtection="1">
      <protection hidden="1"/>
    </xf>
    <xf numFmtId="0" fontId="111" fillId="19" borderId="25" xfId="0" applyFont="1" applyFill="1" applyBorder="1" applyAlignment="1" applyProtection="1">
      <alignment horizontal="center"/>
      <protection hidden="1"/>
    </xf>
    <xf numFmtId="0" fontId="111" fillId="19" borderId="25" xfId="0" applyFont="1" applyFill="1" applyBorder="1" applyAlignment="1" applyProtection="1">
      <alignment horizontal="center" vertical="center"/>
      <protection hidden="1"/>
    </xf>
    <xf numFmtId="164" fontId="124" fillId="0" borderId="4" xfId="0" applyNumberFormat="1" applyFont="1" applyBorder="1" applyAlignment="1" applyProtection="1">
      <alignment horizontal="center" vertical="center"/>
      <protection hidden="1"/>
    </xf>
    <xf numFmtId="164" fontId="99" fillId="0" borderId="0" xfId="0" applyNumberFormat="1" applyFont="1" applyProtection="1">
      <protection hidden="1"/>
    </xf>
    <xf numFmtId="164" fontId="111" fillId="18" borderId="0" xfId="0" applyNumberFormat="1" applyFont="1" applyFill="1" applyAlignment="1" applyProtection="1">
      <alignment horizontal="center" vertical="center"/>
      <protection locked="0"/>
    </xf>
    <xf numFmtId="0" fontId="57" fillId="0" borderId="0" xfId="1" applyFont="1" applyFill="1" applyBorder="1" applyAlignment="1" applyProtection="1">
      <protection locked="0"/>
    </xf>
    <xf numFmtId="0" fontId="144" fillId="0" borderId="0" xfId="0" applyFont="1" applyProtection="1">
      <protection hidden="1"/>
    </xf>
    <xf numFmtId="0" fontId="4" fillId="0" borderId="0" xfId="0" applyFont="1" applyProtection="1">
      <protection hidden="1"/>
    </xf>
    <xf numFmtId="0" fontId="0" fillId="0" borderId="0" xfId="0" applyProtection="1">
      <protection hidden="1"/>
    </xf>
    <xf numFmtId="0" fontId="4" fillId="0" borderId="26" xfId="0" applyFont="1" applyBorder="1" applyProtection="1">
      <protection hidden="1"/>
    </xf>
    <xf numFmtId="0" fontId="4" fillId="0" borderId="28" xfId="0" applyFont="1" applyBorder="1" applyProtection="1">
      <protection hidden="1"/>
    </xf>
    <xf numFmtId="0" fontId="4" fillId="0" borderId="27" xfId="0" applyFont="1" applyBorder="1" applyProtection="1">
      <protection hidden="1"/>
    </xf>
    <xf numFmtId="171" fontId="4" fillId="0" borderId="0" xfId="0" applyNumberFormat="1" applyFont="1" applyProtection="1">
      <protection hidden="1"/>
    </xf>
    <xf numFmtId="0" fontId="4" fillId="0" borderId="0" xfId="0" applyFont="1" applyProtection="1">
      <protection hidden="1"/>
    </xf>
    <xf numFmtId="164" fontId="0" fillId="7" borderId="26" xfId="0" applyNumberFormat="1" applyFill="1" applyBorder="1" applyAlignment="1" applyProtection="1">
      <protection hidden="1"/>
    </xf>
    <xf numFmtId="0" fontId="0" fillId="7" borderId="28" xfId="0" applyFill="1" applyBorder="1" applyAlignment="1" applyProtection="1">
      <protection hidden="1"/>
    </xf>
    <xf numFmtId="0" fontId="136" fillId="0" borderId="8" xfId="0" applyFont="1" applyFill="1" applyBorder="1" applyProtection="1">
      <protection hidden="1"/>
    </xf>
    <xf numFmtId="0" fontId="4" fillId="0" borderId="8" xfId="0" applyFont="1" applyBorder="1" applyProtection="1">
      <protection hidden="1"/>
    </xf>
    <xf numFmtId="164" fontId="51" fillId="4" borderId="25" xfId="0" applyNumberFormat="1" applyFont="1" applyFill="1" applyBorder="1" applyAlignment="1" applyProtection="1">
      <alignment horizontal="center"/>
      <protection hidden="1"/>
    </xf>
    <xf numFmtId="1" fontId="51" fillId="4" borderId="26" xfId="0" applyNumberFormat="1" applyFont="1" applyFill="1" applyBorder="1" applyAlignment="1" applyProtection="1">
      <alignment horizontal="center"/>
      <protection hidden="1"/>
    </xf>
    <xf numFmtId="164" fontId="41" fillId="0" borderId="27" xfId="0" applyNumberFormat="1" applyFont="1" applyBorder="1" applyAlignment="1" applyProtection="1">
      <alignment horizontal="center" vertical="center"/>
      <protection hidden="1"/>
    </xf>
    <xf numFmtId="164" fontId="123" fillId="0" borderId="4" xfId="0" applyNumberFormat="1" applyFont="1" applyFill="1" applyBorder="1" applyAlignment="1" applyProtection="1">
      <alignment horizontal="center"/>
      <protection hidden="1"/>
    </xf>
    <xf numFmtId="0" fontId="78" fillId="0" borderId="0" xfId="0" applyFont="1" applyAlignment="1" applyProtection="1">
      <protection hidden="1"/>
    </xf>
    <xf numFmtId="1" fontId="0" fillId="0" borderId="8" xfId="0" applyNumberFormat="1" applyBorder="1" applyProtection="1">
      <protection hidden="1"/>
    </xf>
    <xf numFmtId="0" fontId="124" fillId="0" borderId="0" xfId="1" applyFont="1" applyFill="1" applyBorder="1" applyAlignment="1" applyProtection="1">
      <alignment horizontal="center" vertical="center" wrapText="1"/>
      <protection locked="0"/>
    </xf>
    <xf numFmtId="0" fontId="124" fillId="0" borderId="0" xfId="1" applyFont="1" applyAlignment="1" applyProtection="1">
      <alignment horizontal="center" vertical="center" wrapText="1"/>
      <protection locked="0"/>
    </xf>
    <xf numFmtId="164" fontId="36" fillId="0" borderId="5" xfId="0" applyNumberFormat="1" applyFont="1" applyBorder="1" applyAlignment="1" applyProtection="1">
      <protection locked="0"/>
    </xf>
    <xf numFmtId="9" fontId="0" fillId="0" borderId="8" xfId="0" applyNumberFormat="1" applyBorder="1" applyAlignment="1">
      <alignment horizontal="center"/>
    </xf>
    <xf numFmtId="0" fontId="0" fillId="0" borderId="19" xfId="0" applyBorder="1"/>
    <xf numFmtId="0" fontId="0" fillId="0" borderId="7" xfId="0" applyBorder="1"/>
    <xf numFmtId="0" fontId="0" fillId="0" borderId="20" xfId="0" quotePrefix="1" applyBorder="1" applyAlignment="1">
      <alignment horizontal="left" indent="2"/>
    </xf>
    <xf numFmtId="0" fontId="0" fillId="0" borderId="1" xfId="0" applyBorder="1" applyAlignment="1">
      <alignment horizontal="left" indent="2"/>
    </xf>
    <xf numFmtId="0" fontId="0" fillId="0" borderId="4" xfId="0" applyBorder="1" applyAlignment="1">
      <alignment horizontal="left" indent="2"/>
    </xf>
    <xf numFmtId="9" fontId="0" fillId="0" borderId="8" xfId="0" applyNumberFormat="1" applyBorder="1" applyAlignment="1">
      <alignment horizontal="center" vertical="center"/>
    </xf>
    <xf numFmtId="0" fontId="4" fillId="0" borderId="3" xfId="0" applyFont="1" applyBorder="1"/>
    <xf numFmtId="0" fontId="0" fillId="0" borderId="3" xfId="0" applyBorder="1"/>
    <xf numFmtId="0" fontId="16" fillId="0" borderId="0" xfId="1" applyAlignment="1" applyProtection="1"/>
    <xf numFmtId="0" fontId="57" fillId="0" borderId="6" xfId="1" applyFont="1" applyBorder="1" applyAlignment="1" applyProtection="1">
      <alignment horizontal="center" vertical="center"/>
      <protection locked="0"/>
    </xf>
    <xf numFmtId="0" fontId="16" fillId="0" borderId="0" xfId="1" applyAlignment="1" applyProtection="1">
      <alignment vertical="center"/>
    </xf>
    <xf numFmtId="0" fontId="16" fillId="0" borderId="0" xfId="1" applyAlignment="1" applyProtection="1">
      <alignment vertical="center"/>
      <protection hidden="1"/>
    </xf>
    <xf numFmtId="0" fontId="10" fillId="3" borderId="0" xfId="0" applyFont="1" applyFill="1" applyAlignment="1" applyProtection="1">
      <alignment horizontal="center" vertical="center"/>
      <protection locked="0"/>
    </xf>
    <xf numFmtId="0" fontId="4" fillId="22" borderId="0" xfId="0" applyFont="1" applyFill="1" applyProtection="1">
      <protection hidden="1"/>
    </xf>
    <xf numFmtId="0" fontId="4" fillId="22" borderId="6" xfId="0" applyFont="1" applyFill="1" applyBorder="1" applyProtection="1">
      <protection hidden="1"/>
    </xf>
    <xf numFmtId="0" fontId="4" fillId="22" borderId="0" xfId="0" applyFont="1" applyFill="1" applyBorder="1"/>
    <xf numFmtId="0" fontId="21" fillId="0" borderId="0" xfId="0" applyFont="1" applyAlignment="1" applyProtection="1">
      <alignment horizontal="center"/>
      <protection hidden="1"/>
    </xf>
    <xf numFmtId="8" fontId="4" fillId="9" borderId="8" xfId="0" applyNumberFormat="1" applyFont="1" applyFill="1" applyBorder="1"/>
    <xf numFmtId="0" fontId="40" fillId="0" borderId="0" xfId="0" applyFont="1" applyAlignment="1" applyProtection="1">
      <alignment horizontal="center"/>
      <protection hidden="1"/>
    </xf>
    <xf numFmtId="164" fontId="28" fillId="0" borderId="0" xfId="0" applyNumberFormat="1" applyFont="1" applyBorder="1" applyAlignment="1" applyProtection="1">
      <protection hidden="1"/>
    </xf>
    <xf numFmtId="0" fontId="58" fillId="0" borderId="0" xfId="1" applyFont="1" applyBorder="1" applyAlignment="1" applyProtection="1">
      <alignment horizontal="center"/>
      <protection hidden="1"/>
    </xf>
    <xf numFmtId="0" fontId="58" fillId="0" borderId="0" xfId="1" applyFont="1" applyAlignment="1" applyProtection="1">
      <alignment horizontal="center" vertical="center"/>
      <protection hidden="1"/>
    </xf>
    <xf numFmtId="0" fontId="21" fillId="7" borderId="0" xfId="0" applyFont="1" applyFill="1" applyAlignment="1" applyProtection="1">
      <protection hidden="1"/>
    </xf>
    <xf numFmtId="0" fontId="4" fillId="4" borderId="0" xfId="0" applyFont="1" applyFill="1" applyAlignment="1" applyProtection="1">
      <alignment horizontal="center"/>
      <protection hidden="1"/>
    </xf>
    <xf numFmtId="0" fontId="0" fillId="4" borderId="0" xfId="0" applyFill="1" applyAlignment="1" applyProtection="1">
      <alignment horizontal="center"/>
      <protection hidden="1"/>
    </xf>
    <xf numFmtId="0" fontId="67" fillId="6" borderId="0" xfId="1" applyFont="1" applyFill="1" applyAlignment="1" applyProtection="1">
      <alignment horizontal="center"/>
      <protection locked="0"/>
    </xf>
    <xf numFmtId="0" fontId="67" fillId="0" borderId="0" xfId="1" applyFont="1" applyFill="1" applyAlignment="1" applyProtection="1">
      <alignment horizontal="center"/>
      <protection hidden="1"/>
    </xf>
    <xf numFmtId="0" fontId="123" fillId="6" borderId="31" xfId="1" applyFont="1" applyFill="1" applyBorder="1" applyAlignment="1" applyProtection="1">
      <alignment horizontal="center" vertical="center"/>
      <protection locked="0"/>
    </xf>
    <xf numFmtId="0" fontId="123" fillId="6" borderId="33" xfId="1" applyFont="1" applyFill="1" applyBorder="1" applyAlignment="1" applyProtection="1">
      <alignment horizontal="center" vertical="center"/>
      <protection locked="0"/>
    </xf>
    <xf numFmtId="0" fontId="123" fillId="6" borderId="47" xfId="1" applyFont="1" applyFill="1" applyBorder="1" applyAlignment="1" applyProtection="1">
      <alignment horizontal="center" vertical="center"/>
      <protection locked="0"/>
    </xf>
    <xf numFmtId="0" fontId="123" fillId="6" borderId="32" xfId="1" applyFont="1" applyFill="1" applyBorder="1" applyAlignment="1" applyProtection="1">
      <alignment horizontal="center" vertical="center"/>
      <protection locked="0"/>
    </xf>
    <xf numFmtId="0" fontId="123" fillId="6" borderId="43" xfId="1" applyFont="1" applyFill="1" applyBorder="1" applyAlignment="1" applyProtection="1">
      <alignment horizontal="center" vertical="center"/>
      <protection locked="0"/>
    </xf>
    <xf numFmtId="0" fontId="123" fillId="6" borderId="48" xfId="1" applyFont="1" applyFill="1" applyBorder="1" applyAlignment="1" applyProtection="1">
      <alignment horizontal="center" vertical="center"/>
      <protection locked="0"/>
    </xf>
    <xf numFmtId="0" fontId="122" fillId="0" borderId="0" xfId="1" applyFont="1" applyAlignment="1" applyProtection="1">
      <alignment horizontal="center"/>
      <protection locked="0"/>
    </xf>
    <xf numFmtId="0" fontId="68" fillId="0" borderId="0" xfId="0" applyFont="1" applyAlignment="1" applyProtection="1">
      <alignment horizontal="center"/>
      <protection hidden="1"/>
    </xf>
    <xf numFmtId="0" fontId="64" fillId="6" borderId="0" xfId="1" quotePrefix="1" applyFont="1" applyFill="1" applyAlignment="1" applyProtection="1">
      <alignment horizontal="center"/>
      <protection locked="0"/>
    </xf>
    <xf numFmtId="0" fontId="9" fillId="0" borderId="0" xfId="0" applyFont="1" applyAlignment="1" applyProtection="1">
      <alignment horizontal="left" vertical="center"/>
      <protection hidden="1"/>
    </xf>
    <xf numFmtId="0" fontId="64" fillId="6" borderId="0" xfId="1" applyFont="1" applyFill="1" applyAlignment="1" applyProtection="1">
      <alignment horizontal="center"/>
      <protection locked="0"/>
    </xf>
    <xf numFmtId="0" fontId="67" fillId="6" borderId="0" xfId="1" applyFont="1" applyFill="1" applyAlignment="1" applyProtection="1">
      <alignment horizontal="center"/>
      <protection hidden="1"/>
    </xf>
    <xf numFmtId="0" fontId="67" fillId="6" borderId="0" xfId="1" quotePrefix="1" applyFont="1" applyFill="1" applyAlignment="1" applyProtection="1">
      <alignment horizontal="center"/>
      <protection hidden="1"/>
    </xf>
    <xf numFmtId="0" fontId="76" fillId="0" borderId="6" xfId="0" applyFont="1" applyFill="1" applyBorder="1" applyAlignment="1" applyProtection="1">
      <alignment horizontal="center"/>
      <protection hidden="1"/>
    </xf>
    <xf numFmtId="0" fontId="76" fillId="0" borderId="7" xfId="0" applyFont="1" applyFill="1" applyBorder="1" applyAlignment="1" applyProtection="1">
      <alignment horizontal="center"/>
      <protection hidden="1"/>
    </xf>
    <xf numFmtId="0" fontId="118" fillId="0" borderId="0" xfId="0" applyNumberFormat="1" applyFont="1" applyFill="1" applyBorder="1" applyAlignment="1" applyProtection="1">
      <alignment horizontal="center"/>
      <protection hidden="1"/>
    </xf>
    <xf numFmtId="49" fontId="23" fillId="0" borderId="2" xfId="0" applyNumberFormat="1" applyFont="1" applyBorder="1" applyAlignment="1" applyProtection="1">
      <alignment horizontal="center"/>
      <protection hidden="1"/>
    </xf>
    <xf numFmtId="0" fontId="33" fillId="0" borderId="1" xfId="0" applyNumberFormat="1" applyFont="1" applyBorder="1" applyAlignment="1" applyProtection="1">
      <alignment horizontal="left"/>
      <protection hidden="1"/>
    </xf>
    <xf numFmtId="0" fontId="39" fillId="0" borderId="0" xfId="0" applyFont="1" applyBorder="1" applyAlignment="1" applyProtection="1">
      <alignment horizontal="right"/>
      <protection hidden="1"/>
    </xf>
    <xf numFmtId="0" fontId="57" fillId="4" borderId="0" xfId="0" applyFont="1" applyFill="1" applyBorder="1" applyAlignment="1" applyProtection="1">
      <alignment horizontal="center"/>
      <protection hidden="1"/>
    </xf>
    <xf numFmtId="0" fontId="40" fillId="4" borderId="0" xfId="0" applyFont="1" applyFill="1" applyBorder="1" applyAlignment="1" applyProtection="1">
      <alignment horizontal="center"/>
      <protection locked="0"/>
    </xf>
    <xf numFmtId="0" fontId="35" fillId="0" borderId="0" xfId="0" applyFont="1" applyBorder="1" applyAlignment="1" applyProtection="1">
      <alignment horizontal="center"/>
      <protection hidden="1"/>
    </xf>
    <xf numFmtId="167" fontId="4" fillId="0" borderId="1" xfId="0" applyNumberFormat="1" applyFont="1" applyBorder="1" applyAlignment="1" applyProtection="1">
      <alignment horizontal="center"/>
      <protection locked="0"/>
    </xf>
    <xf numFmtId="167" fontId="7" fillId="0" borderId="1" xfId="0" applyNumberFormat="1" applyFont="1" applyBorder="1" applyAlignment="1" applyProtection="1">
      <alignment horizontal="center"/>
      <protection locked="0"/>
    </xf>
    <xf numFmtId="0" fontId="86" fillId="0" borderId="0" xfId="0" applyFont="1" applyBorder="1" applyAlignment="1" applyProtection="1">
      <alignment horizontal="center"/>
      <protection hidden="1"/>
    </xf>
    <xf numFmtId="16" fontId="10" fillId="0" borderId="0" xfId="0" applyNumberFormat="1" applyFont="1" applyBorder="1" applyAlignment="1" applyProtection="1">
      <alignment horizontal="center"/>
      <protection hidden="1"/>
    </xf>
    <xf numFmtId="0" fontId="10" fillId="0" borderId="0" xfId="0" applyFont="1" applyBorder="1" applyAlignment="1" applyProtection="1">
      <alignment horizontal="center"/>
      <protection hidden="1"/>
    </xf>
    <xf numFmtId="0" fontId="42" fillId="0" borderId="2" xfId="0" applyFont="1" applyBorder="1" applyAlignment="1" applyProtection="1">
      <alignment horizontal="center"/>
      <protection hidden="1"/>
    </xf>
    <xf numFmtId="0" fontId="28" fillId="0" borderId="0" xfId="0" applyFont="1" applyAlignment="1" applyProtection="1">
      <alignment horizontal="center"/>
      <protection hidden="1"/>
    </xf>
    <xf numFmtId="0" fontId="0" fillId="0" borderId="0" xfId="0" applyBorder="1" applyAlignment="1" applyProtection="1">
      <alignment horizontal="center"/>
      <protection hidden="1"/>
    </xf>
    <xf numFmtId="0" fontId="41" fillId="0" borderId="0" xfId="0" quotePrefix="1" applyFont="1" applyBorder="1" applyAlignment="1" applyProtection="1">
      <alignment horizontal="right"/>
      <protection hidden="1"/>
    </xf>
    <xf numFmtId="0" fontId="86" fillId="0" borderId="0" xfId="0" applyFont="1" applyBorder="1" applyAlignment="1" applyProtection="1">
      <alignment horizontal="right"/>
      <protection hidden="1"/>
    </xf>
    <xf numFmtId="0" fontId="76" fillId="0" borderId="3" xfId="0" applyFont="1" applyFill="1" applyBorder="1" applyAlignment="1" applyProtection="1">
      <alignment horizontal="center"/>
      <protection hidden="1"/>
    </xf>
    <xf numFmtId="0" fontId="66" fillId="0" borderId="2" xfId="0" applyFont="1" applyFill="1" applyBorder="1" applyAlignment="1">
      <alignment horizontal="left"/>
    </xf>
    <xf numFmtId="0" fontId="66" fillId="0" borderId="25" xfId="0" applyFont="1" applyFill="1" applyBorder="1" applyAlignment="1">
      <alignment horizontal="left"/>
    </xf>
    <xf numFmtId="0" fontId="4" fillId="0" borderId="6" xfId="0" applyFont="1" applyFill="1" applyBorder="1" applyAlignment="1">
      <alignment horizontal="left"/>
    </xf>
    <xf numFmtId="0" fontId="4" fillId="0" borderId="3" xfId="0" applyFont="1" applyFill="1" applyBorder="1" applyAlignment="1">
      <alignment horizontal="left"/>
    </xf>
    <xf numFmtId="0" fontId="4" fillId="0" borderId="7" xfId="0" applyFont="1" applyFill="1" applyBorder="1" applyAlignment="1">
      <alignment horizontal="left"/>
    </xf>
    <xf numFmtId="0" fontId="4" fillId="0" borderId="0" xfId="0" applyFont="1" applyAlignment="1" applyProtection="1">
      <alignment horizontal="left" wrapText="1"/>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51" fillId="0" borderId="6" xfId="0" applyFont="1" applyBorder="1" applyAlignment="1">
      <alignment horizontal="center"/>
    </xf>
    <xf numFmtId="0" fontId="51" fillId="0" borderId="3" xfId="0" applyFont="1" applyBorder="1" applyAlignment="1">
      <alignment horizontal="center"/>
    </xf>
    <xf numFmtId="0" fontId="51" fillId="0" borderId="7" xfId="0" applyFont="1" applyBorder="1" applyAlignment="1">
      <alignment horizontal="center"/>
    </xf>
    <xf numFmtId="0" fontId="40" fillId="0" borderId="6" xfId="0" applyFont="1" applyBorder="1" applyAlignment="1">
      <alignment horizontal="center"/>
    </xf>
    <xf numFmtId="0" fontId="40" fillId="0" borderId="3" xfId="0" applyFont="1" applyBorder="1" applyAlignment="1">
      <alignment horizontal="center"/>
    </xf>
    <xf numFmtId="0" fontId="40" fillId="0" borderId="7" xfId="0" applyFont="1" applyBorder="1" applyAlignment="1">
      <alignment horizontal="center"/>
    </xf>
    <xf numFmtId="0" fontId="9" fillId="0" borderId="26" xfId="0" applyFont="1" applyBorder="1" applyAlignment="1" applyProtection="1">
      <alignment horizontal="center" vertical="center"/>
      <protection hidden="1"/>
    </xf>
    <xf numFmtId="0" fontId="9" fillId="0" borderId="28" xfId="0" applyFont="1" applyBorder="1" applyAlignment="1" applyProtection="1">
      <alignment horizontal="center" vertical="center"/>
      <protection hidden="1"/>
    </xf>
    <xf numFmtId="0" fontId="9" fillId="0" borderId="27" xfId="0" applyFont="1" applyBorder="1" applyAlignment="1" applyProtection="1">
      <alignment horizontal="center" vertical="center"/>
      <protection hidden="1"/>
    </xf>
    <xf numFmtId="0" fontId="4" fillId="0" borderId="24" xfId="0" applyFont="1" applyBorder="1" applyAlignment="1" applyProtection="1">
      <alignment horizontal="left" vertical="top" wrapText="1"/>
      <protection hidden="1"/>
    </xf>
    <xf numFmtId="0" fontId="4" fillId="0" borderId="2" xfId="0" applyFont="1" applyBorder="1" applyAlignment="1" applyProtection="1">
      <alignment horizontal="left" vertical="top" wrapText="1"/>
      <protection hidden="1"/>
    </xf>
    <xf numFmtId="0" fontId="4" fillId="0" borderId="25" xfId="0" applyFont="1" applyBorder="1" applyAlignment="1" applyProtection="1">
      <alignment horizontal="left" vertical="top" wrapText="1"/>
      <protection hidden="1"/>
    </xf>
    <xf numFmtId="0" fontId="4" fillId="0" borderId="20" xfId="0" applyFont="1" applyBorder="1" applyAlignment="1" applyProtection="1">
      <alignment horizontal="left" vertical="top" wrapText="1"/>
      <protection hidden="1"/>
    </xf>
    <xf numFmtId="0" fontId="4" fillId="0" borderId="1" xfId="0" applyFont="1" applyBorder="1" applyAlignment="1" applyProtection="1">
      <alignment horizontal="left" vertical="top" wrapText="1"/>
      <protection hidden="1"/>
    </xf>
    <xf numFmtId="0" fontId="4" fillId="0" borderId="4" xfId="0" applyFont="1" applyBorder="1" applyAlignment="1" applyProtection="1">
      <alignment horizontal="left" vertical="top" wrapText="1"/>
      <protection hidden="1"/>
    </xf>
    <xf numFmtId="0" fontId="70" fillId="0" borderId="0" xfId="0" applyFont="1" applyFill="1" applyAlignment="1" applyProtection="1">
      <alignment horizontal="center"/>
      <protection hidden="1"/>
    </xf>
    <xf numFmtId="0" fontId="40" fillId="0" borderId="8" xfId="0" applyFont="1" applyBorder="1" applyAlignment="1">
      <alignment horizontal="left"/>
    </xf>
    <xf numFmtId="0" fontId="33" fillId="0" borderId="8" xfId="0" applyFont="1" applyBorder="1" applyAlignment="1" applyProtection="1">
      <alignment horizontal="right"/>
      <protection hidden="1"/>
    </xf>
    <xf numFmtId="0" fontId="33" fillId="0" borderId="6" xfId="0" applyFont="1" applyBorder="1" applyAlignment="1" applyProtection="1">
      <alignment horizontal="right"/>
      <protection hidden="1"/>
    </xf>
    <xf numFmtId="0" fontId="33" fillId="0" borderId="3" xfId="0" applyFont="1" applyBorder="1" applyAlignment="1" applyProtection="1">
      <alignment horizontal="right"/>
      <protection hidden="1"/>
    </xf>
    <xf numFmtId="0" fontId="33" fillId="0" borderId="7" xfId="0" applyFont="1" applyBorder="1" applyAlignment="1" applyProtection="1">
      <alignment horizontal="right"/>
      <protection hidden="1"/>
    </xf>
    <xf numFmtId="0" fontId="21" fillId="0" borderId="6" xfId="0" applyFont="1" applyBorder="1" applyAlignment="1" applyProtection="1">
      <alignment horizontal="right" vertical="top"/>
      <protection hidden="1"/>
    </xf>
    <xf numFmtId="0" fontId="21" fillId="0" borderId="3" xfId="0" applyFont="1" applyBorder="1" applyAlignment="1" applyProtection="1">
      <alignment horizontal="right" vertical="top"/>
      <protection hidden="1"/>
    </xf>
    <xf numFmtId="0" fontId="21" fillId="0" borderId="7" xfId="0" applyFont="1" applyBorder="1" applyAlignment="1" applyProtection="1">
      <alignment horizontal="right" vertical="top"/>
      <protection hidden="1"/>
    </xf>
    <xf numFmtId="0" fontId="4" fillId="0" borderId="6" xfId="0" applyFont="1" applyBorder="1" applyAlignment="1" applyProtection="1">
      <alignment horizontal="left"/>
      <protection hidden="1"/>
    </xf>
    <xf numFmtId="0" fontId="4" fillId="0" borderId="3" xfId="0" applyFont="1" applyBorder="1" applyAlignment="1" applyProtection="1">
      <alignment horizontal="left"/>
      <protection hidden="1"/>
    </xf>
    <xf numFmtId="0" fontId="4" fillId="0" borderId="7" xfId="0" applyFont="1" applyBorder="1" applyAlignment="1" applyProtection="1">
      <alignment horizontal="left"/>
      <protection hidden="1"/>
    </xf>
    <xf numFmtId="0" fontId="21" fillId="0" borderId="6" xfId="0" applyFont="1" applyBorder="1" applyAlignment="1" applyProtection="1">
      <alignment horizontal="right"/>
      <protection hidden="1"/>
    </xf>
    <xf numFmtId="0" fontId="21" fillId="0" borderId="3" xfId="0" applyFont="1" applyBorder="1" applyAlignment="1" applyProtection="1">
      <alignment horizontal="right"/>
      <protection hidden="1"/>
    </xf>
    <xf numFmtId="8" fontId="21" fillId="0" borderId="6" xfId="0" applyNumberFormat="1" applyFont="1" applyBorder="1" applyAlignment="1" applyProtection="1">
      <alignment horizontal="left"/>
      <protection hidden="1"/>
    </xf>
    <xf numFmtId="8" fontId="21" fillId="0" borderId="7" xfId="0" applyNumberFormat="1" applyFont="1" applyBorder="1" applyAlignment="1" applyProtection="1">
      <alignment horizontal="left"/>
      <protection hidden="1"/>
    </xf>
    <xf numFmtId="0" fontId="21" fillId="0" borderId="26" xfId="0" applyFont="1" applyBorder="1" applyAlignment="1" applyProtection="1">
      <alignment horizontal="center" vertical="center"/>
      <protection hidden="1"/>
    </xf>
    <xf numFmtId="0" fontId="21" fillId="0" borderId="27" xfId="0" applyFont="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4" fillId="0" borderId="2" xfId="0" applyFont="1" applyBorder="1" applyAlignment="1" applyProtection="1">
      <alignment horizontal="left" vertical="top"/>
      <protection hidden="1"/>
    </xf>
    <xf numFmtId="0" fontId="4" fillId="0" borderId="25" xfId="0" applyFont="1" applyBorder="1" applyAlignment="1" applyProtection="1">
      <alignment horizontal="left" vertical="top"/>
      <protection hidden="1"/>
    </xf>
    <xf numFmtId="0" fontId="4" fillId="0" borderId="1" xfId="0" applyFont="1" applyBorder="1" applyAlignment="1" applyProtection="1">
      <alignment horizontal="left" vertical="top"/>
      <protection hidden="1"/>
    </xf>
    <xf numFmtId="0" fontId="4" fillId="0" borderId="4" xfId="0" applyFont="1" applyBorder="1" applyAlignment="1" applyProtection="1">
      <alignment horizontal="left" vertical="top"/>
      <protection hidden="1"/>
    </xf>
    <xf numFmtId="0" fontId="21" fillId="0" borderId="28" xfId="0" applyFont="1" applyBorder="1" applyAlignment="1" applyProtection="1">
      <alignment horizontal="center" vertical="center"/>
      <protection hidden="1"/>
    </xf>
    <xf numFmtId="0" fontId="21" fillId="0" borderId="24" xfId="0" applyFont="1" applyBorder="1" applyAlignment="1" applyProtection="1">
      <alignment horizontal="left" vertical="top" wrapText="1"/>
      <protection hidden="1"/>
    </xf>
    <xf numFmtId="0" fontId="21" fillId="0" borderId="2" xfId="0" applyFont="1" applyBorder="1" applyAlignment="1" applyProtection="1">
      <alignment horizontal="left" vertical="top" wrapText="1"/>
      <protection hidden="1"/>
    </xf>
    <xf numFmtId="0" fontId="21" fillId="0" borderId="25" xfId="0" applyFont="1" applyBorder="1" applyAlignment="1" applyProtection="1">
      <alignment horizontal="left" vertical="top" wrapText="1"/>
      <protection hidden="1"/>
    </xf>
    <xf numFmtId="0" fontId="21" fillId="0" borderId="20" xfId="0" applyFont="1" applyBorder="1" applyAlignment="1" applyProtection="1">
      <alignment horizontal="left" vertical="top" wrapText="1"/>
      <protection hidden="1"/>
    </xf>
    <xf numFmtId="0" fontId="21" fillId="0" borderId="1" xfId="0" applyFont="1" applyBorder="1" applyAlignment="1" applyProtection="1">
      <alignment horizontal="left" vertical="top" wrapText="1"/>
      <protection hidden="1"/>
    </xf>
    <xf numFmtId="0" fontId="21" fillId="0" borderId="4" xfId="0" applyFont="1" applyBorder="1" applyAlignment="1" applyProtection="1">
      <alignment horizontal="left" vertical="top" wrapText="1"/>
      <protection hidden="1"/>
    </xf>
    <xf numFmtId="167" fontId="4" fillId="0" borderId="1" xfId="0" applyNumberFormat="1" applyFont="1" applyBorder="1" applyAlignment="1" applyProtection="1">
      <alignment horizontal="center"/>
      <protection hidden="1"/>
    </xf>
    <xf numFmtId="0" fontId="21" fillId="0" borderId="0"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17" fillId="0" borderId="0" xfId="0" applyNumberFormat="1" applyFont="1" applyBorder="1" applyAlignment="1" applyProtection="1">
      <alignment horizontal="center"/>
      <protection hidden="1"/>
    </xf>
    <xf numFmtId="0" fontId="21" fillId="0" borderId="26" xfId="0" applyFont="1" applyBorder="1" applyAlignment="1" applyProtection="1">
      <alignment horizontal="center"/>
      <protection hidden="1"/>
    </xf>
    <xf numFmtId="0" fontId="21" fillId="0" borderId="28" xfId="0" applyFont="1" applyBorder="1" applyAlignment="1" applyProtection="1">
      <alignment horizontal="center"/>
      <protection hidden="1"/>
    </xf>
    <xf numFmtId="0" fontId="4" fillId="0" borderId="19" xfId="0" applyFont="1" applyBorder="1" applyAlignment="1" applyProtection="1">
      <alignment horizontal="left" vertical="top" wrapText="1"/>
      <protection hidden="1"/>
    </xf>
    <xf numFmtId="0" fontId="4" fillId="0" borderId="0" xfId="0" applyFont="1" applyBorder="1" applyAlignment="1" applyProtection="1">
      <alignment horizontal="left" vertical="top" wrapText="1"/>
      <protection hidden="1"/>
    </xf>
    <xf numFmtId="0" fontId="4" fillId="0" borderId="12" xfId="0" applyFont="1" applyBorder="1" applyAlignment="1" applyProtection="1">
      <alignment horizontal="left" vertical="top" wrapText="1"/>
      <protection hidden="1"/>
    </xf>
    <xf numFmtId="8" fontId="21" fillId="0" borderId="28" xfId="0" applyNumberFormat="1" applyFont="1" applyBorder="1" applyAlignment="1" applyProtection="1">
      <alignment horizontal="center" vertical="top"/>
      <protection hidden="1"/>
    </xf>
    <xf numFmtId="0" fontId="21" fillId="0" borderId="27" xfId="0" applyFont="1" applyBorder="1" applyAlignment="1" applyProtection="1">
      <alignment horizontal="center" vertical="top"/>
      <protection hidden="1"/>
    </xf>
    <xf numFmtId="0" fontId="4" fillId="0" borderId="0" xfId="0" applyFont="1" applyAlignment="1" applyProtection="1">
      <alignment horizontal="left"/>
      <protection hidden="1"/>
    </xf>
    <xf numFmtId="0" fontId="9" fillId="0" borderId="0" xfId="0" applyFont="1" applyFill="1" applyAlignment="1" applyProtection="1">
      <alignment horizontal="center"/>
      <protection hidden="1"/>
    </xf>
    <xf numFmtId="0" fontId="9" fillId="0" borderId="0" xfId="0" applyFont="1" applyFill="1" applyAlignment="1" applyProtection="1">
      <alignment horizontal="left"/>
      <protection hidden="1"/>
    </xf>
    <xf numFmtId="0" fontId="9" fillId="0" borderId="0" xfId="1" applyFont="1" applyFill="1" applyAlignment="1" applyProtection="1">
      <alignment horizontal="center"/>
      <protection hidden="1"/>
    </xf>
    <xf numFmtId="0" fontId="21" fillId="0" borderId="0" xfId="0" applyFont="1" applyAlignment="1" applyProtection="1">
      <alignment horizontal="center" vertical="center" wrapText="1"/>
      <protection hidden="1"/>
    </xf>
    <xf numFmtId="0" fontId="21" fillId="0" borderId="1" xfId="0" applyFont="1" applyBorder="1" applyAlignment="1" applyProtection="1">
      <alignment horizontal="center" vertical="center" wrapText="1"/>
      <protection hidden="1"/>
    </xf>
    <xf numFmtId="0" fontId="9" fillId="0" borderId="0" xfId="0" applyFont="1" applyBorder="1" applyAlignment="1" applyProtection="1">
      <alignment horizontal="right"/>
      <protection hidden="1"/>
    </xf>
    <xf numFmtId="164" fontId="9" fillId="0" borderId="0" xfId="0" applyNumberFormat="1" applyFont="1" applyBorder="1" applyAlignment="1" applyProtection="1">
      <alignment horizontal="center"/>
      <protection hidden="1"/>
    </xf>
    <xf numFmtId="0" fontId="40" fillId="0" borderId="0" xfId="0" quotePrefix="1" applyFont="1" applyBorder="1" applyAlignment="1" applyProtection="1">
      <alignment horizontal="right"/>
      <protection hidden="1"/>
    </xf>
    <xf numFmtId="0" fontId="70" fillId="0" borderId="0" xfId="0" applyFont="1" applyAlignment="1" applyProtection="1">
      <alignment horizontal="right"/>
      <protection hidden="1"/>
    </xf>
    <xf numFmtId="0" fontId="40" fillId="0" borderId="0" xfId="0" applyFont="1" applyFill="1" applyBorder="1" applyAlignment="1" applyProtection="1">
      <alignment horizontal="center"/>
      <protection hidden="1"/>
    </xf>
    <xf numFmtId="0" fontId="40" fillId="0" borderId="0" xfId="0" applyFont="1" applyBorder="1" applyAlignment="1" applyProtection="1">
      <alignment horizontal="right"/>
      <protection hidden="1"/>
    </xf>
    <xf numFmtId="0" fontId="40" fillId="0" borderId="0" xfId="0" applyFont="1" applyBorder="1" applyAlignment="1" applyProtection="1">
      <alignment horizontal="center"/>
      <protection hidden="1"/>
    </xf>
    <xf numFmtId="0" fontId="10" fillId="0" borderId="0" xfId="0" applyFont="1" applyAlignment="1" applyProtection="1">
      <alignment horizontal="left"/>
      <protection hidden="1"/>
    </xf>
    <xf numFmtId="0" fontId="4" fillId="0" borderId="0" xfId="0" applyFont="1" applyBorder="1" applyAlignment="1" applyProtection="1">
      <alignment horizontal="center"/>
      <protection hidden="1"/>
    </xf>
    <xf numFmtId="0" fontId="9" fillId="0" borderId="0" xfId="0" applyFont="1" applyAlignment="1" applyProtection="1">
      <alignment horizontal="right"/>
      <protection hidden="1"/>
    </xf>
    <xf numFmtId="8" fontId="9" fillId="0" borderId="14" xfId="0" applyNumberFormat="1" applyFont="1" applyBorder="1" applyAlignment="1" applyProtection="1">
      <alignment horizontal="right"/>
      <protection hidden="1"/>
    </xf>
    <xf numFmtId="0" fontId="21" fillId="0" borderId="0" xfId="1" applyFont="1" applyAlignment="1" applyProtection="1">
      <alignment horizontal="center" vertical="center"/>
      <protection hidden="1"/>
    </xf>
    <xf numFmtId="0" fontId="9" fillId="0" borderId="2" xfId="0" applyFont="1" applyBorder="1" applyAlignment="1" applyProtection="1">
      <alignment horizontal="center"/>
      <protection hidden="1"/>
    </xf>
    <xf numFmtId="0" fontId="21" fillId="0" borderId="0" xfId="0" applyFont="1" applyAlignment="1" applyProtection="1">
      <alignment horizontal="left"/>
      <protection hidden="1"/>
    </xf>
    <xf numFmtId="0" fontId="21" fillId="0" borderId="0" xfId="0" applyFont="1" applyFill="1" applyBorder="1" applyAlignment="1" applyProtection="1">
      <alignment horizontal="center"/>
      <protection hidden="1"/>
    </xf>
    <xf numFmtId="0" fontId="10" fillId="0" borderId="0" xfId="0" applyFont="1" applyAlignment="1" applyProtection="1">
      <alignment horizontal="center"/>
      <protection hidden="1"/>
    </xf>
    <xf numFmtId="0" fontId="21" fillId="0" borderId="0" xfId="0" applyFont="1" applyBorder="1" applyAlignment="1" applyProtection="1">
      <alignment horizontal="left"/>
      <protection hidden="1"/>
    </xf>
    <xf numFmtId="0" fontId="9" fillId="0" borderId="0" xfId="0" applyFont="1" applyAlignment="1" applyProtection="1">
      <alignment horizontal="center"/>
      <protection hidden="1"/>
    </xf>
    <xf numFmtId="164" fontId="21" fillId="0" borderId="0" xfId="0" applyNumberFormat="1" applyFont="1" applyFill="1" applyAlignment="1" applyProtection="1">
      <alignment horizontal="left"/>
      <protection hidden="1"/>
    </xf>
    <xf numFmtId="0" fontId="4" fillId="0" borderId="0" xfId="0" applyFont="1" applyProtection="1">
      <protection hidden="1"/>
    </xf>
    <xf numFmtId="164" fontId="21" fillId="0" borderId="0" xfId="0" applyNumberFormat="1" applyFont="1" applyAlignment="1" applyProtection="1">
      <alignment horizontal="left"/>
      <protection hidden="1"/>
    </xf>
    <xf numFmtId="8" fontId="98" fillId="0" borderId="0" xfId="1" applyNumberFormat="1" applyFont="1" applyFill="1" applyAlignment="1" applyProtection="1">
      <alignment horizontal="left"/>
      <protection hidden="1"/>
    </xf>
    <xf numFmtId="0" fontId="21" fillId="0" borderId="12" xfId="0" applyFont="1" applyBorder="1" applyAlignment="1" applyProtection="1">
      <alignment horizontal="left"/>
      <protection hidden="1"/>
    </xf>
    <xf numFmtId="0" fontId="21" fillId="0" borderId="0" xfId="0" applyFont="1" applyAlignment="1" applyProtection="1">
      <alignment horizontal="center"/>
      <protection hidden="1"/>
    </xf>
    <xf numFmtId="0" fontId="98" fillId="0" borderId="0" xfId="1" applyFont="1" applyAlignment="1" applyProtection="1">
      <alignment horizontal="center"/>
      <protection hidden="1"/>
    </xf>
    <xf numFmtId="0" fontId="21" fillId="0" borderId="0" xfId="1" applyFont="1" applyAlignment="1" applyProtection="1">
      <alignment horizontal="center"/>
      <protection hidden="1"/>
    </xf>
    <xf numFmtId="0" fontId="21"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4" fillId="0" borderId="5" xfId="0" applyNumberFormat="1" applyFont="1" applyBorder="1" applyAlignment="1" applyProtection="1">
      <alignment horizontal="left"/>
      <protection hidden="1"/>
    </xf>
    <xf numFmtId="0" fontId="33" fillId="0" borderId="21" xfId="0" applyNumberFormat="1" applyFont="1" applyBorder="1" applyAlignment="1" applyProtection="1">
      <alignment horizontal="left"/>
      <protection hidden="1"/>
    </xf>
    <xf numFmtId="0" fontId="40" fillId="0" borderId="0" xfId="0" applyFont="1" applyFill="1" applyAlignment="1" applyProtection="1">
      <alignment horizontal="center"/>
      <protection hidden="1"/>
    </xf>
    <xf numFmtId="0" fontId="33" fillId="0" borderId="21" xfId="0" applyFont="1" applyBorder="1" applyAlignment="1" applyProtection="1">
      <alignment horizontal="left"/>
      <protection hidden="1"/>
    </xf>
    <xf numFmtId="0" fontId="33" fillId="0" borderId="22" xfId="0" applyFont="1" applyBorder="1" applyAlignment="1" applyProtection="1">
      <alignment horizontal="left"/>
      <protection hidden="1"/>
    </xf>
    <xf numFmtId="0" fontId="4" fillId="0" borderId="21" xfId="0" applyFont="1" applyBorder="1" applyAlignment="1" applyProtection="1">
      <alignment horizontal="left"/>
      <protection hidden="1"/>
    </xf>
    <xf numFmtId="0" fontId="4" fillId="0" borderId="22" xfId="0" applyFont="1" applyBorder="1" applyAlignment="1" applyProtection="1">
      <alignment horizontal="left"/>
      <protection hidden="1"/>
    </xf>
    <xf numFmtId="0" fontId="4" fillId="0" borderId="0" xfId="0" applyFont="1" applyFill="1" applyBorder="1" applyAlignment="1">
      <alignment horizontal="center"/>
    </xf>
    <xf numFmtId="0" fontId="99" fillId="0" borderId="0" xfId="0" applyFont="1" applyFill="1" applyBorder="1" applyAlignment="1">
      <alignment horizontal="left"/>
    </xf>
    <xf numFmtId="0" fontId="4" fillId="0" borderId="6" xfId="0" applyFont="1" applyFill="1" applyBorder="1" applyAlignment="1" applyProtection="1">
      <alignment horizontal="center"/>
      <protection hidden="1"/>
    </xf>
    <xf numFmtId="0" fontId="4" fillId="0" borderId="3" xfId="0" applyFont="1" applyFill="1" applyBorder="1" applyAlignment="1" applyProtection="1">
      <alignment horizontal="center"/>
      <protection hidden="1"/>
    </xf>
    <xf numFmtId="0" fontId="4" fillId="0" borderId="7" xfId="0" applyFont="1" applyFill="1" applyBorder="1" applyAlignment="1" applyProtection="1">
      <alignment horizontal="center"/>
      <protection hidden="1"/>
    </xf>
    <xf numFmtId="0" fontId="4" fillId="0" borderId="22" xfId="0" applyFont="1" applyBorder="1" applyAlignment="1" applyProtection="1">
      <alignment horizontal="left"/>
      <protection locked="0"/>
    </xf>
    <xf numFmtId="0" fontId="7" fillId="0" borderId="22" xfId="0" applyFont="1" applyBorder="1" applyAlignment="1" applyProtection="1">
      <alignment horizontal="left"/>
      <protection locked="0"/>
    </xf>
    <xf numFmtId="16" fontId="4" fillId="0" borderId="21" xfId="0" applyNumberFormat="1" applyFont="1" applyBorder="1" applyAlignment="1" applyProtection="1">
      <alignment horizontal="left"/>
      <protection locked="0"/>
    </xf>
    <xf numFmtId="0" fontId="7" fillId="0" borderId="21" xfId="0" applyFont="1" applyBorder="1" applyAlignment="1" applyProtection="1">
      <alignment horizontal="left"/>
      <protection locked="0"/>
    </xf>
    <xf numFmtId="0" fontId="35" fillId="0" borderId="0" xfId="0" applyFont="1" applyBorder="1" applyAlignment="1" applyProtection="1">
      <alignment horizontal="left"/>
      <protection hidden="1"/>
    </xf>
    <xf numFmtId="0" fontId="71" fillId="0" borderId="0" xfId="0" applyFont="1" applyBorder="1" applyAlignment="1" applyProtection="1">
      <alignment horizontal="left"/>
      <protection hidden="1"/>
    </xf>
    <xf numFmtId="0" fontId="39" fillId="0" borderId="0" xfId="0" applyFont="1" applyAlignment="1" applyProtection="1">
      <alignment horizontal="center"/>
      <protection locked="0"/>
    </xf>
    <xf numFmtId="0" fontId="4" fillId="0" borderId="0" xfId="0" applyFont="1" applyFill="1" applyBorder="1" applyAlignment="1">
      <alignment horizontal="left"/>
    </xf>
    <xf numFmtId="0" fontId="42" fillId="0" borderId="0" xfId="0" applyFont="1" applyAlignment="1">
      <alignment horizontal="center"/>
    </xf>
    <xf numFmtId="0" fontId="37" fillId="0" borderId="0" xfId="0" applyFont="1" applyAlignment="1" applyProtection="1">
      <alignment horizontal="center"/>
      <protection hidden="1"/>
    </xf>
    <xf numFmtId="0" fontId="33" fillId="0" borderId="21" xfId="0" applyNumberFormat="1" applyFont="1" applyBorder="1" applyAlignment="1" applyProtection="1">
      <alignment horizontal="left"/>
      <protection locked="0"/>
    </xf>
    <xf numFmtId="0" fontId="4" fillId="0" borderId="5" xfId="0" applyNumberFormat="1" applyFont="1" applyBorder="1" applyAlignment="1" applyProtection="1">
      <alignment horizontal="left"/>
      <protection locked="0"/>
    </xf>
    <xf numFmtId="0" fontId="7" fillId="0" borderId="5" xfId="0" applyNumberFormat="1" applyFont="1" applyBorder="1" applyAlignment="1" applyProtection="1">
      <alignment horizontal="left"/>
      <protection locked="0"/>
    </xf>
    <xf numFmtId="0" fontId="21" fillId="7" borderId="0" xfId="0" applyFont="1" applyFill="1" applyAlignment="1" applyProtection="1">
      <alignment horizontal="left"/>
      <protection hidden="1"/>
    </xf>
    <xf numFmtId="0" fontId="21" fillId="7" borderId="0" xfId="0" applyFont="1" applyFill="1" applyAlignment="1" applyProtection="1">
      <alignment horizontal="center"/>
      <protection hidden="1"/>
    </xf>
    <xf numFmtId="0" fontId="16" fillId="7" borderId="0" xfId="1" applyFill="1" applyAlignment="1" applyProtection="1">
      <alignment horizontal="center"/>
      <protection hidden="1"/>
    </xf>
    <xf numFmtId="0" fontId="21" fillId="7" borderId="0" xfId="1" applyFont="1" applyFill="1" applyAlignment="1" applyProtection="1">
      <alignment horizontal="center"/>
      <protection hidden="1"/>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21" fillId="0" borderId="8" xfId="0" applyFont="1" applyBorder="1" applyAlignment="1">
      <alignment horizontal="center" vertical="center"/>
    </xf>
    <xf numFmtId="0" fontId="0" fillId="0" borderId="2" xfId="0" applyBorder="1" applyAlignment="1">
      <alignment horizontal="left" vertical="top"/>
    </xf>
    <xf numFmtId="0" fontId="0" fillId="0" borderId="25" xfId="0" applyBorder="1" applyAlignment="1">
      <alignment horizontal="left" vertical="top"/>
    </xf>
    <xf numFmtId="0" fontId="0" fillId="0" borderId="1" xfId="0" applyBorder="1" applyAlignment="1">
      <alignment horizontal="left" vertical="top"/>
    </xf>
    <xf numFmtId="0" fontId="0" fillId="0" borderId="4" xfId="0" applyBorder="1" applyAlignment="1">
      <alignment horizontal="left" vertical="top"/>
    </xf>
    <xf numFmtId="0" fontId="21" fillId="0" borderId="6" xfId="0" applyFont="1" applyBorder="1" applyAlignment="1">
      <alignment horizontal="right" vertical="top"/>
    </xf>
    <xf numFmtId="0" fontId="21" fillId="0" borderId="3" xfId="0" applyFont="1" applyBorder="1" applyAlignment="1">
      <alignment horizontal="right" vertical="top"/>
    </xf>
    <xf numFmtId="0" fontId="21" fillId="0" borderId="7" xfId="0" applyFont="1" applyBorder="1" applyAlignment="1">
      <alignment horizontal="right" vertical="top"/>
    </xf>
    <xf numFmtId="0" fontId="21" fillId="0" borderId="6" xfId="0" applyFont="1" applyBorder="1" applyAlignment="1">
      <alignment horizontal="right"/>
    </xf>
    <xf numFmtId="0" fontId="21" fillId="0" borderId="3" xfId="0" applyFont="1" applyBorder="1" applyAlignment="1">
      <alignment horizontal="right"/>
    </xf>
    <xf numFmtId="8" fontId="21" fillId="0" borderId="6" xfId="0" applyNumberFormat="1" applyFont="1" applyBorder="1" applyAlignment="1">
      <alignment horizontal="left"/>
    </xf>
    <xf numFmtId="8" fontId="21" fillId="0" borderId="7" xfId="0" applyNumberFormat="1" applyFont="1" applyBorder="1" applyAlignment="1">
      <alignment horizontal="left"/>
    </xf>
    <xf numFmtId="0" fontId="4" fillId="0" borderId="6" xfId="0" applyFont="1" applyBorder="1" applyAlignment="1">
      <alignment horizontal="left"/>
    </xf>
    <xf numFmtId="0" fontId="0" fillId="0" borderId="3"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21" fillId="0" borderId="24" xfId="0" applyFont="1" applyBorder="1" applyAlignment="1">
      <alignment horizontal="left" vertical="top" wrapText="1"/>
    </xf>
    <xf numFmtId="0" fontId="21" fillId="0" borderId="2" xfId="0" applyFont="1" applyBorder="1" applyAlignment="1">
      <alignment horizontal="left" vertical="top" wrapText="1"/>
    </xf>
    <xf numFmtId="0" fontId="21" fillId="0" borderId="25" xfId="0" applyFont="1" applyBorder="1" applyAlignment="1">
      <alignment horizontal="left" vertical="top" wrapText="1"/>
    </xf>
    <xf numFmtId="0" fontId="21" fillId="0" borderId="20" xfId="0" applyFont="1" applyBorder="1" applyAlignment="1">
      <alignment horizontal="left" vertical="top" wrapText="1"/>
    </xf>
    <xf numFmtId="0" fontId="21" fillId="0" borderId="1" xfId="0" applyFont="1" applyBorder="1" applyAlignment="1">
      <alignment horizontal="left" vertical="top" wrapText="1"/>
    </xf>
    <xf numFmtId="0" fontId="21" fillId="0" borderId="4" xfId="0" applyFont="1" applyBorder="1" applyAlignment="1">
      <alignment horizontal="left" vertical="top" wrapText="1"/>
    </xf>
    <xf numFmtId="0" fontId="0" fillId="0" borderId="24" xfId="0" applyBorder="1" applyAlignment="1">
      <alignment horizontal="left" vertical="top" wrapText="1"/>
    </xf>
    <xf numFmtId="0" fontId="0" fillId="0" borderId="2" xfId="0" applyBorder="1" applyAlignment="1">
      <alignment horizontal="left" vertical="top" wrapText="1"/>
    </xf>
    <xf numFmtId="0" fontId="0" fillId="0" borderId="25"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20" xfId="0" applyBorder="1" applyAlignment="1">
      <alignment horizontal="left" vertical="top" wrapText="1"/>
    </xf>
    <xf numFmtId="0" fontId="0" fillId="0" borderId="1" xfId="0" applyBorder="1" applyAlignment="1">
      <alignment horizontal="left" vertical="top" wrapText="1"/>
    </xf>
    <xf numFmtId="0" fontId="0" fillId="0" borderId="4" xfId="0" applyBorder="1" applyAlignment="1">
      <alignment horizontal="left" vertical="top" wrapText="1"/>
    </xf>
    <xf numFmtId="0" fontId="21" fillId="0" borderId="28" xfId="0" applyFont="1" applyBorder="1" applyAlignment="1">
      <alignment horizontal="center" vertical="center"/>
    </xf>
    <xf numFmtId="0" fontId="21" fillId="0" borderId="26" xfId="0" applyFont="1" applyBorder="1" applyAlignment="1">
      <alignment horizontal="center"/>
    </xf>
    <xf numFmtId="0" fontId="21" fillId="0" borderId="28" xfId="0" applyFont="1" applyBorder="1" applyAlignment="1">
      <alignment horizontal="center"/>
    </xf>
    <xf numFmtId="8" fontId="21" fillId="0" borderId="28" xfId="0" applyNumberFormat="1" applyFont="1" applyBorder="1" applyAlignment="1">
      <alignment horizontal="center" vertical="top"/>
    </xf>
    <xf numFmtId="0" fontId="21" fillId="0" borderId="27" xfId="0" applyFont="1" applyBorder="1" applyAlignment="1">
      <alignment horizontal="center" vertical="top"/>
    </xf>
    <xf numFmtId="0" fontId="21" fillId="0" borderId="6" xfId="0" applyFont="1" applyBorder="1" applyAlignment="1">
      <alignment horizontal="left"/>
    </xf>
    <xf numFmtId="0" fontId="21" fillId="0" borderId="3" xfId="0" applyFont="1" applyBorder="1" applyAlignment="1">
      <alignment horizontal="left"/>
    </xf>
    <xf numFmtId="0" fontId="21" fillId="0" borderId="7" xfId="0" applyFont="1" applyBorder="1" applyAlignment="1">
      <alignment horizontal="left"/>
    </xf>
    <xf numFmtId="0" fontId="104" fillId="0" borderId="6" xfId="0" applyFont="1" applyFill="1" applyBorder="1" applyAlignment="1" applyProtection="1">
      <alignment horizontal="center"/>
      <protection hidden="1"/>
    </xf>
    <xf numFmtId="0" fontId="104" fillId="0" borderId="7" xfId="0" applyFont="1" applyFill="1" applyBorder="1" applyAlignment="1" applyProtection="1">
      <alignment horizontal="center"/>
      <protection hidden="1"/>
    </xf>
    <xf numFmtId="0" fontId="99" fillId="0" borderId="6" xfId="0" applyFont="1" applyFill="1" applyBorder="1" applyAlignment="1" applyProtection="1">
      <alignment horizontal="center"/>
      <protection hidden="1"/>
    </xf>
    <xf numFmtId="0" fontId="99" fillId="0" borderId="3" xfId="0" applyFont="1" applyFill="1" applyBorder="1" applyAlignment="1" applyProtection="1">
      <alignment horizontal="center"/>
      <protection hidden="1"/>
    </xf>
    <xf numFmtId="0" fontId="99" fillId="0" borderId="7" xfId="0" applyFont="1" applyFill="1" applyBorder="1" applyAlignment="1" applyProtection="1">
      <alignment horizontal="center"/>
      <protection hidden="1"/>
    </xf>
    <xf numFmtId="0" fontId="42" fillId="0" borderId="0" xfId="0" applyFont="1" applyAlignment="1" applyProtection="1">
      <alignment horizontal="right"/>
      <protection hidden="1"/>
    </xf>
    <xf numFmtId="164" fontId="35" fillId="0" borderId="0" xfId="0" applyNumberFormat="1" applyFont="1" applyAlignment="1" applyProtection="1">
      <alignment horizontal="left"/>
      <protection hidden="1"/>
    </xf>
    <xf numFmtId="0" fontId="35" fillId="0" borderId="0" xfId="0" applyFont="1" applyAlignment="1" applyProtection="1">
      <alignment horizontal="left"/>
      <protection hidden="1"/>
    </xf>
    <xf numFmtId="164" fontId="45" fillId="0" borderId="0" xfId="0" applyNumberFormat="1" applyFont="1" applyBorder="1" applyAlignment="1" applyProtection="1">
      <alignment horizontal="center"/>
      <protection hidden="1"/>
    </xf>
    <xf numFmtId="0" fontId="34" fillId="0" borderId="0" xfId="0" applyFont="1" applyBorder="1" applyAlignment="1" applyProtection="1">
      <alignment horizontal="right"/>
      <protection hidden="1"/>
    </xf>
    <xf numFmtId="0" fontId="37" fillId="0" borderId="0" xfId="0" applyFont="1" applyAlignment="1" applyProtection="1">
      <alignment horizontal="left"/>
      <protection hidden="1"/>
    </xf>
    <xf numFmtId="0" fontId="4" fillId="0" borderId="21" xfId="0" applyFont="1" applyBorder="1" applyAlignment="1" applyProtection="1">
      <alignment horizontal="left"/>
      <protection locked="0"/>
    </xf>
    <xf numFmtId="16" fontId="33" fillId="0" borderId="21" xfId="0" applyNumberFormat="1" applyFont="1" applyBorder="1" applyAlignment="1" applyProtection="1">
      <alignment horizontal="left"/>
      <protection locked="0"/>
    </xf>
    <xf numFmtId="0" fontId="33" fillId="0" borderId="21" xfId="0" applyFont="1" applyBorder="1" applyAlignment="1" applyProtection="1">
      <alignment horizontal="left"/>
      <protection locked="0"/>
    </xf>
    <xf numFmtId="0" fontId="33" fillId="0" borderId="22" xfId="0" applyFont="1" applyBorder="1" applyAlignment="1" applyProtection="1">
      <alignment horizontal="left"/>
      <protection locked="0"/>
    </xf>
    <xf numFmtId="0" fontId="0" fillId="0" borderId="0" xfId="0" applyProtection="1">
      <protection hidden="1"/>
    </xf>
    <xf numFmtId="14" fontId="0" fillId="0" borderId="6" xfId="0" applyNumberFormat="1" applyBorder="1" applyAlignment="1">
      <alignment horizontal="left"/>
    </xf>
    <xf numFmtId="14" fontId="0" fillId="0" borderId="3" xfId="0" applyNumberFormat="1" applyBorder="1" applyAlignment="1">
      <alignment horizontal="left"/>
    </xf>
    <xf numFmtId="14" fontId="0" fillId="0" borderId="7" xfId="0" applyNumberFormat="1" applyBorder="1" applyAlignment="1">
      <alignment horizontal="left"/>
    </xf>
    <xf numFmtId="0" fontId="118" fillId="0" borderId="0" xfId="0" applyFont="1" applyFill="1" applyAlignment="1" applyProtection="1">
      <alignment horizontal="center" vertical="center"/>
      <protection hidden="1"/>
    </xf>
    <xf numFmtId="0" fontId="9" fillId="7" borderId="0" xfId="0" applyFont="1" applyFill="1" applyAlignment="1" applyProtection="1">
      <alignment horizontal="center"/>
      <protection hidden="1"/>
    </xf>
    <xf numFmtId="0" fontId="37" fillId="0" borderId="0" xfId="1" applyFont="1" applyAlignment="1" applyProtection="1">
      <alignment horizontal="center" vertical="center"/>
      <protection locked="0"/>
    </xf>
    <xf numFmtId="0" fontId="65" fillId="0" borderId="0" xfId="0" applyFont="1" applyAlignment="1" applyProtection="1">
      <alignment horizontal="right"/>
      <protection hidden="1"/>
    </xf>
    <xf numFmtId="0" fontId="21" fillId="0" borderId="0" xfId="0" applyFont="1" applyAlignment="1">
      <alignment horizontal="center" vertical="center" wrapText="1"/>
    </xf>
    <xf numFmtId="0" fontId="21" fillId="0" borderId="1" xfId="0" applyFont="1" applyBorder="1" applyAlignment="1">
      <alignment horizontal="center" vertical="center" wrapText="1"/>
    </xf>
    <xf numFmtId="0" fontId="9" fillId="0" borderId="0" xfId="0" applyFont="1" applyFill="1" applyAlignment="1" applyProtection="1">
      <alignment horizontal="right"/>
      <protection hidden="1"/>
    </xf>
    <xf numFmtId="0" fontId="124" fillId="23" borderId="20" xfId="1" applyFont="1" applyFill="1" applyBorder="1" applyAlignment="1" applyProtection="1">
      <alignment horizontal="left"/>
      <protection locked="0"/>
    </xf>
    <xf numFmtId="0" fontId="124" fillId="23" borderId="4" xfId="1" applyFont="1" applyFill="1" applyBorder="1" applyAlignment="1" applyProtection="1">
      <alignment horizontal="left"/>
      <protection locked="0"/>
    </xf>
    <xf numFmtId="0" fontId="39" fillId="23" borderId="24" xfId="0" applyFont="1" applyFill="1" applyBorder="1" applyAlignment="1" applyProtection="1">
      <alignment horizontal="left"/>
      <protection hidden="1"/>
    </xf>
    <xf numFmtId="0" fontId="39" fillId="23" borderId="25" xfId="0" applyFont="1" applyFill="1" applyBorder="1" applyAlignment="1" applyProtection="1">
      <alignment horizontal="left"/>
      <protection hidden="1"/>
    </xf>
    <xf numFmtId="0" fontId="124" fillId="23" borderId="20" xfId="1" applyFont="1" applyFill="1" applyBorder="1" applyAlignment="1" applyProtection="1">
      <protection locked="0"/>
    </xf>
    <xf numFmtId="0" fontId="124" fillId="23" borderId="4" xfId="1" applyFont="1" applyFill="1" applyBorder="1" applyAlignment="1" applyProtection="1">
      <protection locked="0"/>
    </xf>
    <xf numFmtId="0" fontId="71" fillId="0" borderId="0" xfId="0" applyFont="1" applyAlignment="1" applyProtection="1">
      <alignment horizontal="left"/>
      <protection hidden="1"/>
    </xf>
    <xf numFmtId="164" fontId="35" fillId="23" borderId="24" xfId="0" applyNumberFormat="1" applyFont="1" applyFill="1" applyBorder="1" applyAlignment="1" applyProtection="1">
      <alignment horizontal="left"/>
      <protection hidden="1"/>
    </xf>
    <xf numFmtId="164" fontId="35" fillId="23" borderId="25" xfId="0" applyNumberFormat="1" applyFont="1" applyFill="1" applyBorder="1" applyAlignment="1" applyProtection="1">
      <alignment horizontal="left"/>
      <protection hidden="1"/>
    </xf>
    <xf numFmtId="164" fontId="58" fillId="23" borderId="24" xfId="0" applyNumberFormat="1" applyFont="1" applyFill="1" applyBorder="1" applyAlignment="1" applyProtection="1">
      <alignment horizontal="left"/>
      <protection hidden="1"/>
    </xf>
    <xf numFmtId="164" fontId="58" fillId="23" borderId="25" xfId="0" applyNumberFormat="1" applyFont="1" applyFill="1" applyBorder="1" applyAlignment="1" applyProtection="1">
      <alignment horizontal="left"/>
      <protection hidden="1"/>
    </xf>
    <xf numFmtId="8" fontId="124" fillId="23" borderId="20" xfId="1" applyNumberFormat="1" applyFont="1" applyFill="1" applyBorder="1" applyAlignment="1" applyProtection="1">
      <alignment horizontal="left"/>
      <protection locked="0"/>
    </xf>
    <xf numFmtId="8" fontId="124" fillId="23" borderId="4" xfId="1" applyNumberFormat="1" applyFont="1" applyFill="1" applyBorder="1" applyAlignment="1" applyProtection="1">
      <alignment horizontal="left"/>
      <protection locked="0"/>
    </xf>
    <xf numFmtId="164" fontId="35" fillId="0" borderId="0" xfId="0" applyNumberFormat="1" applyFont="1" applyFill="1" applyAlignment="1" applyProtection="1">
      <alignment horizontal="left"/>
      <protection hidden="1"/>
    </xf>
    <xf numFmtId="8" fontId="42" fillId="0" borderId="14" xfId="0" applyNumberFormat="1" applyFont="1" applyBorder="1" applyAlignment="1" applyProtection="1">
      <alignment horizontal="right"/>
      <protection hidden="1"/>
    </xf>
    <xf numFmtId="0" fontId="122" fillId="0" borderId="0" xfId="1" applyFont="1" applyAlignment="1" applyProtection="1">
      <protection locked="0"/>
    </xf>
    <xf numFmtId="0" fontId="92" fillId="0" borderId="6"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4" fillId="0" borderId="8" xfId="0" applyFont="1" applyFill="1" applyBorder="1" applyAlignment="1">
      <alignment vertical="center" wrapText="1"/>
    </xf>
    <xf numFmtId="0" fontId="92" fillId="0" borderId="20" xfId="0" applyFont="1" applyFill="1" applyBorder="1" applyAlignment="1">
      <alignment horizontal="center" vertical="center" wrapText="1"/>
    </xf>
    <xf numFmtId="0" fontId="92" fillId="0" borderId="1" xfId="0" applyFont="1" applyFill="1" applyBorder="1" applyAlignment="1">
      <alignment horizontal="center" vertical="center" wrapText="1"/>
    </xf>
    <xf numFmtId="0" fontId="94" fillId="0" borderId="8" xfId="0"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24" fillId="0" borderId="0" xfId="1" applyFont="1" applyAlignment="1" applyProtection="1">
      <alignment horizontal="left"/>
      <protection locked="0"/>
    </xf>
    <xf numFmtId="0" fontId="124" fillId="0" borderId="0" xfId="1" applyFont="1" applyFill="1" applyBorder="1" applyAlignment="1" applyProtection="1">
      <alignment horizontal="left"/>
      <protection locked="0"/>
    </xf>
    <xf numFmtId="0" fontId="124" fillId="0" borderId="19" xfId="1" applyFont="1" applyBorder="1" applyAlignment="1" applyProtection="1">
      <alignment horizontal="left"/>
      <protection locked="0"/>
    </xf>
    <xf numFmtId="0" fontId="51" fillId="0" borderId="19" xfId="0" applyFont="1" applyBorder="1" applyAlignment="1">
      <alignment horizontal="center"/>
    </xf>
    <xf numFmtId="0" fontId="51" fillId="0" borderId="0" xfId="0" applyFont="1" applyBorder="1" applyAlignment="1">
      <alignment horizontal="center"/>
    </xf>
    <xf numFmtId="0" fontId="51" fillId="0" borderId="12" xfId="0" applyFont="1" applyBorder="1" applyAlignment="1">
      <alignment horizontal="center"/>
    </xf>
    <xf numFmtId="0" fontId="51" fillId="0" borderId="8" xfId="0" applyFont="1" applyBorder="1" applyAlignment="1">
      <alignment horizontal="left"/>
    </xf>
    <xf numFmtId="0" fontId="51" fillId="0" borderId="24" xfId="0" applyFont="1" applyBorder="1" applyAlignment="1">
      <alignment horizontal="center"/>
    </xf>
    <xf numFmtId="0" fontId="51" fillId="0" borderId="2" xfId="0" applyFont="1" applyBorder="1" applyAlignment="1">
      <alignment horizontal="center"/>
    </xf>
    <xf numFmtId="0" fontId="51" fillId="0" borderId="25" xfId="0" applyFont="1" applyBorder="1" applyAlignment="1">
      <alignment horizontal="center"/>
    </xf>
    <xf numFmtId="0" fontId="21" fillId="0" borderId="7" xfId="0" applyFont="1" applyBorder="1" applyAlignment="1" applyProtection="1">
      <alignment horizontal="right"/>
      <protection hidden="1"/>
    </xf>
    <xf numFmtId="0" fontId="4" fillId="0" borderId="24" xfId="0" applyFont="1" applyBorder="1" applyAlignment="1" applyProtection="1">
      <alignment horizontal="center"/>
      <protection hidden="1"/>
    </xf>
    <xf numFmtId="0" fontId="4" fillId="0" borderId="2"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4" fillId="0" borderId="1" xfId="0" applyFont="1" applyBorder="1" applyAlignment="1" applyProtection="1">
      <alignment horizontal="center"/>
      <protection hidden="1"/>
    </xf>
    <xf numFmtId="0" fontId="4" fillId="0" borderId="4" xfId="0" applyFont="1" applyBorder="1" applyAlignment="1" applyProtection="1">
      <alignment horizontal="center"/>
      <protection hidden="1"/>
    </xf>
    <xf numFmtId="0" fontId="4" fillId="0" borderId="41" xfId="0" applyFont="1" applyBorder="1" applyAlignment="1" applyProtection="1">
      <alignment horizontal="left"/>
      <protection hidden="1"/>
    </xf>
    <xf numFmtId="0" fontId="4" fillId="0" borderId="42" xfId="0" applyFont="1" applyBorder="1" applyAlignment="1" applyProtection="1">
      <alignment horizontal="left"/>
      <protection hidden="1"/>
    </xf>
    <xf numFmtId="0" fontId="4" fillId="0" borderId="44" xfId="0" applyFont="1" applyBorder="1" applyAlignment="1" applyProtection="1">
      <alignment horizontal="left"/>
      <protection hidden="1"/>
    </xf>
    <xf numFmtId="0" fontId="4" fillId="0" borderId="30" xfId="0" applyFont="1" applyBorder="1" applyAlignment="1" applyProtection="1">
      <alignment horizontal="left"/>
      <protection hidden="1"/>
    </xf>
    <xf numFmtId="0" fontId="4" fillId="0" borderId="45" xfId="0" applyFont="1" applyBorder="1" applyAlignment="1" applyProtection="1">
      <alignment horizontal="left"/>
      <protection hidden="1"/>
    </xf>
    <xf numFmtId="0" fontId="4" fillId="0" borderId="30" xfId="0" applyFont="1" applyBorder="1" applyAlignment="1" applyProtection="1">
      <protection hidden="1"/>
    </xf>
    <xf numFmtId="0" fontId="4" fillId="0" borderId="3" xfId="0" applyFont="1" applyBorder="1" applyAlignment="1" applyProtection="1">
      <protection hidden="1"/>
    </xf>
    <xf numFmtId="0" fontId="4" fillId="0" borderId="45" xfId="0" applyFont="1" applyBorder="1" applyAlignment="1" applyProtection="1">
      <protection hidden="1"/>
    </xf>
    <xf numFmtId="0" fontId="4" fillId="0" borderId="37" xfId="0" applyFont="1" applyBorder="1" applyAlignment="1" applyProtection="1">
      <alignment horizontal="left"/>
      <protection hidden="1"/>
    </xf>
    <xf numFmtId="0" fontId="4" fillId="0" borderId="38" xfId="0" applyFont="1" applyBorder="1" applyAlignment="1" applyProtection="1">
      <alignment horizontal="left"/>
      <protection hidden="1"/>
    </xf>
    <xf numFmtId="0" fontId="4" fillId="0" borderId="46" xfId="0" applyFont="1" applyBorder="1" applyAlignment="1" applyProtection="1">
      <alignment horizontal="left"/>
      <protection hidden="1"/>
    </xf>
    <xf numFmtId="0" fontId="4" fillId="0" borderId="31" xfId="0" applyFont="1" applyBorder="1" applyAlignment="1" applyProtection="1">
      <alignment horizontal="left"/>
      <protection hidden="1"/>
    </xf>
    <xf numFmtId="0" fontId="4" fillId="0" borderId="33" xfId="0" applyFont="1" applyBorder="1" applyAlignment="1" applyProtection="1">
      <alignment horizontal="left"/>
      <protection hidden="1"/>
    </xf>
    <xf numFmtId="0" fontId="4" fillId="0" borderId="47" xfId="0" applyFont="1" applyBorder="1" applyAlignment="1" applyProtection="1">
      <alignment horizontal="left"/>
      <protection hidden="1"/>
    </xf>
    <xf numFmtId="0" fontId="4" fillId="0" borderId="32" xfId="0" applyFont="1" applyBorder="1" applyAlignment="1" applyProtection="1">
      <alignment horizontal="left"/>
      <protection hidden="1"/>
    </xf>
    <xf numFmtId="0" fontId="4" fillId="0" borderId="43" xfId="0" applyFont="1" applyBorder="1" applyAlignment="1" applyProtection="1">
      <alignment horizontal="left"/>
      <protection hidden="1"/>
    </xf>
    <xf numFmtId="0" fontId="4" fillId="0" borderId="48" xfId="0" applyFont="1" applyBorder="1" applyAlignment="1" applyProtection="1">
      <alignment horizontal="left"/>
      <protection hidden="1"/>
    </xf>
    <xf numFmtId="0" fontId="21" fillId="0" borderId="20" xfId="0" applyFont="1" applyBorder="1" applyAlignment="1" applyProtection="1">
      <alignment horizontal="left"/>
      <protection hidden="1"/>
    </xf>
    <xf numFmtId="0" fontId="21" fillId="0" borderId="1" xfId="0" applyFont="1" applyBorder="1" applyAlignment="1" applyProtection="1">
      <alignment horizontal="left"/>
      <protection hidden="1"/>
    </xf>
    <xf numFmtId="0" fontId="21" fillId="0" borderId="4" xfId="0" applyFont="1" applyBorder="1" applyAlignment="1" applyProtection="1">
      <alignment horizontal="left"/>
      <protection hidden="1"/>
    </xf>
    <xf numFmtId="0" fontId="21" fillId="0" borderId="24" xfId="0" applyFont="1" applyBorder="1" applyAlignment="1" applyProtection="1">
      <alignment horizontal="right"/>
      <protection hidden="1"/>
    </xf>
    <xf numFmtId="0" fontId="21" fillId="0" borderId="2" xfId="0" applyFont="1" applyBorder="1" applyAlignment="1" applyProtection="1">
      <alignment horizontal="right"/>
      <protection hidden="1"/>
    </xf>
    <xf numFmtId="0" fontId="21" fillId="0" borderId="25" xfId="0" applyFont="1" applyBorder="1" applyAlignment="1" applyProtection="1">
      <alignment horizontal="right"/>
      <protection hidden="1"/>
    </xf>
    <xf numFmtId="0" fontId="37" fillId="0" borderId="8" xfId="0" applyFont="1" applyFill="1" applyBorder="1" applyAlignment="1" applyProtection="1">
      <alignment horizontal="center"/>
      <protection hidden="1"/>
    </xf>
    <xf numFmtId="0" fontId="21" fillId="0" borderId="24" xfId="0" applyFont="1" applyFill="1" applyBorder="1" applyAlignment="1" applyProtection="1">
      <alignment horizontal="center" vertical="center"/>
      <protection hidden="1"/>
    </xf>
    <xf numFmtId="0" fontId="21" fillId="0" borderId="19" xfId="0" applyFont="1" applyFill="1" applyBorder="1" applyAlignment="1" applyProtection="1">
      <alignment horizontal="center" vertical="center"/>
      <protection hidden="1"/>
    </xf>
    <xf numFmtId="0" fontId="21" fillId="0" borderId="20" xfId="0" applyFont="1" applyFill="1" applyBorder="1" applyAlignment="1" applyProtection="1">
      <alignment horizontal="center" vertical="center"/>
      <protection hidden="1"/>
    </xf>
    <xf numFmtId="0" fontId="4" fillId="0" borderId="6" xfId="0" applyFont="1" applyBorder="1" applyAlignment="1" applyProtection="1">
      <alignment horizontal="center"/>
      <protection hidden="1"/>
    </xf>
    <xf numFmtId="0" fontId="4" fillId="0" borderId="3"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21" fillId="0" borderId="24" xfId="0" applyFont="1" applyFill="1" applyBorder="1" applyAlignment="1" applyProtection="1">
      <alignment horizontal="center"/>
      <protection hidden="1"/>
    </xf>
    <xf numFmtId="0" fontId="21" fillId="0" borderId="19" xfId="0" applyFont="1" applyFill="1" applyBorder="1" applyAlignment="1" applyProtection="1">
      <alignment horizontal="center"/>
      <protection hidden="1"/>
    </xf>
    <xf numFmtId="8" fontId="21" fillId="0" borderId="19" xfId="0" applyNumberFormat="1" applyFont="1" applyFill="1" applyBorder="1" applyAlignment="1" applyProtection="1">
      <alignment horizontal="center" vertical="top"/>
      <protection hidden="1"/>
    </xf>
    <xf numFmtId="0" fontId="21" fillId="0" borderId="20" xfId="0" applyFont="1" applyFill="1" applyBorder="1" applyAlignment="1" applyProtection="1">
      <alignment horizontal="center" vertical="top"/>
      <protection hidden="1"/>
    </xf>
    <xf numFmtId="0" fontId="21" fillId="0" borderId="26" xfId="0" applyFont="1" applyFill="1" applyBorder="1" applyAlignment="1" applyProtection="1">
      <alignment horizontal="center" vertical="center"/>
      <protection hidden="1"/>
    </xf>
    <xf numFmtId="0" fontId="21" fillId="0" borderId="28" xfId="0" applyFont="1" applyFill="1" applyBorder="1" applyAlignment="1" applyProtection="1">
      <alignment horizontal="center" vertical="center"/>
      <protection hidden="1"/>
    </xf>
    <xf numFmtId="0" fontId="4" fillId="0" borderId="8" xfId="0" applyFont="1" applyBorder="1" applyAlignment="1" applyProtection="1">
      <alignment horizontal="center" wrapText="1"/>
      <protection hidden="1"/>
    </xf>
    <xf numFmtId="0" fontId="4" fillId="0" borderId="26" xfId="0" applyFont="1" applyBorder="1" applyAlignment="1" applyProtection="1">
      <alignment horizontal="center" wrapText="1"/>
      <protection hidden="1"/>
    </xf>
    <xf numFmtId="0" fontId="8" fillId="0" borderId="0" xfId="0" applyFont="1" applyAlignment="1" applyProtection="1">
      <alignment horizontal="center"/>
      <protection hidden="1"/>
    </xf>
    <xf numFmtId="0" fontId="9" fillId="0" borderId="0" xfId="1" quotePrefix="1" applyFont="1" applyFill="1" applyAlignment="1" applyProtection="1">
      <alignment horizontal="center"/>
      <protection hidden="1"/>
    </xf>
    <xf numFmtId="0" fontId="21" fillId="0" borderId="5" xfId="0" applyFont="1" applyBorder="1" applyAlignment="1" applyProtection="1">
      <alignment horizontal="left"/>
      <protection hidden="1"/>
    </xf>
    <xf numFmtId="0" fontId="21" fillId="0" borderId="24" xfId="0" applyFont="1" applyBorder="1" applyAlignment="1" applyProtection="1">
      <alignment horizontal="center" vertical="center"/>
      <protection hidden="1"/>
    </xf>
    <xf numFmtId="0" fontId="21" fillId="0" borderId="19" xfId="0" applyFont="1" applyBorder="1" applyAlignment="1" applyProtection="1">
      <alignment horizontal="center" vertical="center"/>
      <protection hidden="1"/>
    </xf>
    <xf numFmtId="0" fontId="21" fillId="0" borderId="20" xfId="0" applyFont="1" applyBorder="1" applyAlignment="1" applyProtection="1">
      <alignment horizontal="center" vertical="center"/>
      <protection hidden="1"/>
    </xf>
    <xf numFmtId="0" fontId="109" fillId="0" borderId="0" xfId="0" applyFont="1" applyAlignment="1" applyProtection="1">
      <protection hidden="1"/>
    </xf>
    <xf numFmtId="0" fontId="40" fillId="0" borderId="2" xfId="0" applyFont="1" applyBorder="1" applyAlignment="1" applyProtection="1">
      <alignment horizontal="center"/>
      <protection hidden="1"/>
    </xf>
    <xf numFmtId="0" fontId="21" fillId="0" borderId="0" xfId="1" applyFont="1" applyAlignment="1" applyProtection="1">
      <alignment horizontal="center" wrapText="1"/>
      <protection hidden="1"/>
    </xf>
    <xf numFmtId="0" fontId="21" fillId="0" borderId="5" xfId="1" applyFont="1" applyBorder="1" applyAlignment="1" applyProtection="1">
      <alignment horizontal="center" wrapText="1"/>
      <protection hidden="1"/>
    </xf>
    <xf numFmtId="0" fontId="9" fillId="0" borderId="0" xfId="0" quotePrefix="1" applyFont="1" applyBorder="1" applyAlignment="1" applyProtection="1">
      <alignment horizontal="right"/>
      <protection hidden="1"/>
    </xf>
    <xf numFmtId="0" fontId="8" fillId="0" borderId="0" xfId="0" applyFont="1" applyBorder="1" applyAlignment="1" applyProtection="1">
      <alignment horizontal="center"/>
      <protection hidden="1"/>
    </xf>
    <xf numFmtId="0" fontId="10" fillId="0" borderId="1" xfId="0" quotePrefix="1" applyFont="1" applyBorder="1" applyAlignment="1" applyProtection="1">
      <alignment horizontal="center"/>
      <protection hidden="1"/>
    </xf>
    <xf numFmtId="0" fontId="10" fillId="0" borderId="1" xfId="0" applyFont="1" applyBorder="1" applyAlignment="1" applyProtection="1">
      <alignment horizontal="center"/>
      <protection hidden="1"/>
    </xf>
    <xf numFmtId="167" fontId="9" fillId="0" borderId="1" xfId="0" applyNumberFormat="1" applyFont="1" applyBorder="1" applyAlignment="1" applyProtection="1">
      <alignment horizontal="center"/>
      <protection hidden="1"/>
    </xf>
    <xf numFmtId="0" fontId="8" fillId="0" borderId="0" xfId="0" applyFont="1" applyFill="1" applyBorder="1" applyAlignment="1" applyProtection="1">
      <alignment horizontal="center"/>
      <protection hidden="1"/>
    </xf>
    <xf numFmtId="0" fontId="21" fillId="0" borderId="1" xfId="0" applyFont="1" applyBorder="1" applyAlignment="1" applyProtection="1">
      <alignment horizontal="center"/>
      <protection hidden="1"/>
    </xf>
    <xf numFmtId="0" fontId="9" fillId="0" borderId="0" xfId="0" quotePrefix="1" applyFont="1" applyAlignment="1" applyProtection="1">
      <alignment horizontal="right"/>
      <protection hidden="1"/>
    </xf>
    <xf numFmtId="0" fontId="40" fillId="0" borderId="0" xfId="0" applyFont="1" applyAlignment="1" applyProtection="1">
      <alignment horizontal="right"/>
      <protection hidden="1"/>
    </xf>
    <xf numFmtId="0" fontId="9" fillId="0" borderId="0" xfId="0" applyFont="1" applyAlignment="1" applyProtection="1">
      <alignment horizontal="left"/>
      <protection hidden="1"/>
    </xf>
    <xf numFmtId="0" fontId="9" fillId="0" borderId="0" xfId="0" applyFont="1" applyBorder="1" applyAlignment="1" applyProtection="1">
      <alignment horizontal="left"/>
      <protection hidden="1"/>
    </xf>
    <xf numFmtId="0" fontId="9" fillId="0" borderId="0" xfId="0" applyFont="1" applyFill="1" applyBorder="1" applyAlignment="1" applyProtection="1">
      <alignment horizontal="center"/>
      <protection hidden="1"/>
    </xf>
    <xf numFmtId="0" fontId="33" fillId="0" borderId="0" xfId="1" applyFont="1" applyBorder="1" applyAlignment="1" applyProtection="1">
      <alignment horizontal="center"/>
      <protection hidden="1"/>
    </xf>
    <xf numFmtId="0" fontId="9" fillId="0" borderId="0" xfId="1" applyFont="1" applyBorder="1" applyAlignment="1" applyProtection="1">
      <alignment horizontal="center"/>
      <protection hidden="1"/>
    </xf>
    <xf numFmtId="0" fontId="4" fillId="0" borderId="5" xfId="0" applyFont="1" applyBorder="1" applyAlignment="1" applyProtection="1">
      <alignment horizontal="center"/>
      <protection hidden="1"/>
    </xf>
    <xf numFmtId="20" fontId="9" fillId="0" borderId="0" xfId="0" applyNumberFormat="1" applyFont="1" applyBorder="1" applyAlignment="1" applyProtection="1">
      <alignment horizontal="left"/>
      <protection hidden="1"/>
    </xf>
    <xf numFmtId="0" fontId="33" fillId="0" borderId="5" xfId="0" applyFont="1" applyBorder="1" applyAlignment="1" applyProtection="1">
      <alignment horizontal="center"/>
      <protection hidden="1"/>
    </xf>
    <xf numFmtId="0" fontId="33" fillId="0" borderId="5" xfId="0" applyFont="1" applyBorder="1" applyAlignment="1" applyProtection="1">
      <alignment horizontal="left"/>
      <protection hidden="1"/>
    </xf>
    <xf numFmtId="0" fontId="33" fillId="0" borderId="10" xfId="0" applyFont="1" applyBorder="1" applyAlignment="1" applyProtection="1">
      <alignment horizontal="center"/>
      <protection hidden="1"/>
    </xf>
    <xf numFmtId="0" fontId="111" fillId="0" borderId="3" xfId="0" applyFont="1" applyBorder="1" applyAlignment="1">
      <alignment horizontal="left"/>
    </xf>
    <xf numFmtId="0" fontId="111" fillId="0" borderId="7" xfId="0" applyFont="1" applyBorder="1" applyAlignment="1">
      <alignment horizontal="left"/>
    </xf>
    <xf numFmtId="0" fontId="99" fillId="0" borderId="19" xfId="0" applyFont="1" applyFill="1" applyBorder="1" applyAlignment="1">
      <alignment horizontal="left"/>
    </xf>
    <xf numFmtId="0" fontId="99" fillId="0" borderId="12" xfId="0" applyFont="1" applyFill="1" applyBorder="1" applyAlignment="1">
      <alignment horizontal="left"/>
    </xf>
    <xf numFmtId="0" fontId="66" fillId="0" borderId="8" xfId="0" applyFont="1" applyBorder="1" applyAlignment="1">
      <alignment horizontal="center" wrapText="1"/>
    </xf>
    <xf numFmtId="0" fontId="7" fillId="0" borderId="0" xfId="0" applyFont="1" applyBorder="1" applyAlignment="1" applyProtection="1">
      <alignment horizontal="center"/>
      <protection hidden="1"/>
    </xf>
    <xf numFmtId="0" fontId="74" fillId="0" borderId="0" xfId="0" applyFont="1" applyBorder="1" applyAlignment="1" applyProtection="1">
      <alignment horizontal="left"/>
      <protection hidden="1"/>
    </xf>
    <xf numFmtId="0" fontId="57" fillId="3" borderId="0" xfId="0" applyFont="1" applyFill="1" applyAlignment="1">
      <alignment horizontal="center"/>
    </xf>
    <xf numFmtId="0" fontId="45" fillId="0" borderId="0" xfId="0" applyFont="1" applyAlignment="1" applyProtection="1">
      <alignment horizontal="center"/>
      <protection hidden="1"/>
    </xf>
    <xf numFmtId="0" fontId="33" fillId="0" borderId="0" xfId="0" applyFont="1" applyAlignment="1" applyProtection="1">
      <alignment horizontal="left"/>
      <protection hidden="1"/>
    </xf>
    <xf numFmtId="0" fontId="42" fillId="0" borderId="0" xfId="0" quotePrefix="1" applyFont="1" applyAlignment="1" applyProtection="1">
      <alignment horizontal="right"/>
      <protection hidden="1"/>
    </xf>
    <xf numFmtId="0" fontId="44" fillId="0" borderId="0" xfId="0" applyFont="1" applyAlignment="1" applyProtection="1">
      <alignment horizontal="right"/>
      <protection hidden="1"/>
    </xf>
    <xf numFmtId="0" fontId="111" fillId="0" borderId="26" xfId="0" applyFont="1" applyFill="1" applyBorder="1" applyAlignment="1">
      <alignment horizontal="center" vertical="center"/>
    </xf>
    <xf numFmtId="0" fontId="111" fillId="0" borderId="28" xfId="0" applyFont="1" applyFill="1" applyBorder="1" applyAlignment="1">
      <alignment horizontal="center" vertical="center"/>
    </xf>
    <xf numFmtId="0" fontId="66" fillId="0" borderId="6" xfId="0" applyFont="1" applyBorder="1" applyAlignment="1">
      <alignment horizontal="left"/>
    </xf>
    <xf numFmtId="0" fontId="66" fillId="0" borderId="3" xfId="0" applyFont="1" applyBorder="1" applyAlignment="1">
      <alignment horizontal="left"/>
    </xf>
    <xf numFmtId="0" fontId="66" fillId="0" borderId="7" xfId="0" applyFont="1" applyBorder="1" applyAlignment="1">
      <alignment horizontal="left"/>
    </xf>
    <xf numFmtId="0" fontId="4" fillId="0" borderId="8" xfId="0" applyFont="1" applyFill="1" applyBorder="1" applyAlignment="1">
      <alignment horizontal="left"/>
    </xf>
    <xf numFmtId="0" fontId="49" fillId="0" borderId="0" xfId="0" applyFont="1" applyAlignment="1" applyProtection="1">
      <alignment horizontal="center"/>
      <protection hidden="1"/>
    </xf>
    <xf numFmtId="0" fontId="21" fillId="0" borderId="5" xfId="0" applyFont="1" applyBorder="1" applyAlignment="1" applyProtection="1">
      <alignment horizontal="left"/>
      <protection locked="0"/>
    </xf>
    <xf numFmtId="16" fontId="10" fillId="0" borderId="1" xfId="0" quotePrefix="1" applyNumberFormat="1" applyFont="1" applyBorder="1" applyAlignment="1" applyProtection="1">
      <alignment horizontal="center"/>
      <protection hidden="1"/>
    </xf>
    <xf numFmtId="167" fontId="9" fillId="0" borderId="1" xfId="0" applyNumberFormat="1" applyFont="1" applyBorder="1" applyAlignment="1" applyProtection="1">
      <alignment horizontal="center"/>
      <protection locked="0"/>
    </xf>
    <xf numFmtId="0" fontId="49" fillId="0" borderId="0" xfId="0" applyFont="1" applyBorder="1" applyAlignment="1" applyProtection="1">
      <alignment horizontal="center"/>
      <protection hidden="1"/>
    </xf>
    <xf numFmtId="0" fontId="45" fillId="0" borderId="0" xfId="0" quotePrefix="1" applyFont="1" applyBorder="1" applyAlignment="1" applyProtection="1">
      <alignment horizontal="right"/>
      <protection hidden="1"/>
    </xf>
    <xf numFmtId="0" fontId="9" fillId="3" borderId="0" xfId="0" applyFont="1" applyFill="1" applyAlignment="1" applyProtection="1">
      <alignment horizontal="center"/>
      <protection locked="0"/>
    </xf>
    <xf numFmtId="0" fontId="118" fillId="0" borderId="0" xfId="0" applyFont="1" applyAlignment="1" applyProtection="1">
      <alignment horizontal="center"/>
      <protection hidden="1"/>
    </xf>
    <xf numFmtId="0" fontId="33" fillId="0" borderId="5" xfId="0" applyFont="1" applyBorder="1" applyAlignment="1" applyProtection="1">
      <alignment horizontal="center"/>
      <protection locked="0"/>
    </xf>
    <xf numFmtId="0" fontId="41" fillId="0" borderId="2" xfId="0" applyFont="1" applyBorder="1" applyAlignment="1" applyProtection="1">
      <alignment horizontal="center"/>
      <protection hidden="1"/>
    </xf>
    <xf numFmtId="0" fontId="37" fillId="0" borderId="0" xfId="1" applyFont="1" applyAlignment="1" applyProtection="1">
      <alignment horizontal="center" wrapText="1"/>
      <protection locked="0"/>
    </xf>
    <xf numFmtId="0" fontId="37" fillId="0" borderId="5" xfId="1" applyFont="1" applyBorder="1" applyAlignment="1" applyProtection="1">
      <alignment horizontal="center" wrapText="1"/>
      <protection locked="0"/>
    </xf>
    <xf numFmtId="0" fontId="45" fillId="0" borderId="0" xfId="0" applyFont="1" applyFill="1" applyBorder="1" applyAlignment="1" applyProtection="1">
      <alignment horizontal="center"/>
      <protection locked="0"/>
    </xf>
    <xf numFmtId="0" fontId="36" fillId="0" borderId="0" xfId="0" applyFont="1" applyAlignment="1" applyProtection="1">
      <alignment horizontal="left"/>
      <protection hidden="1"/>
    </xf>
    <xf numFmtId="0" fontId="36" fillId="0" borderId="0" xfId="0" applyFont="1" applyFill="1" applyAlignment="1" applyProtection="1">
      <alignment horizontal="left"/>
      <protection hidden="1"/>
    </xf>
    <xf numFmtId="0" fontId="36" fillId="0" borderId="0" xfId="0" applyFont="1" applyBorder="1" applyAlignment="1" applyProtection="1">
      <alignment horizontal="left"/>
      <protection hidden="1"/>
    </xf>
    <xf numFmtId="20" fontId="74" fillId="0" borderId="0" xfId="0" applyNumberFormat="1" applyFont="1" applyBorder="1" applyAlignment="1" applyProtection="1">
      <alignment horizontal="left"/>
      <protection hidden="1"/>
    </xf>
    <xf numFmtId="0" fontId="74" fillId="0" borderId="0" xfId="0" applyFont="1" applyAlignment="1" applyProtection="1">
      <alignment horizontal="left"/>
      <protection hidden="1"/>
    </xf>
    <xf numFmtId="0" fontId="37" fillId="0" borderId="0" xfId="1" applyFont="1" applyAlignment="1" applyProtection="1">
      <alignment horizontal="center"/>
      <protection hidden="1"/>
    </xf>
    <xf numFmtId="8" fontId="124" fillId="0" borderId="0" xfId="1" applyNumberFormat="1" applyFont="1" applyFill="1" applyAlignment="1" applyProtection="1">
      <alignment horizontal="left"/>
      <protection locked="0"/>
    </xf>
    <xf numFmtId="0" fontId="4" fillId="0" borderId="0" xfId="0" applyFont="1" applyFill="1" applyBorder="1" applyAlignment="1" applyProtection="1">
      <alignment horizontal="center"/>
      <protection hidden="1"/>
    </xf>
    <xf numFmtId="0" fontId="57" fillId="0" borderId="6" xfId="0" applyFont="1" applyFill="1" applyBorder="1" applyAlignment="1">
      <alignment horizontal="left"/>
    </xf>
    <xf numFmtId="0" fontId="57" fillId="0" borderId="7" xfId="0" applyFont="1" applyFill="1" applyBorder="1" applyAlignment="1">
      <alignment horizontal="left"/>
    </xf>
    <xf numFmtId="8" fontId="4" fillId="0" borderId="0" xfId="0" applyNumberFormat="1" applyFont="1" applyFill="1" applyBorder="1" applyAlignment="1">
      <alignment horizontal="left"/>
    </xf>
    <xf numFmtId="0" fontId="118" fillId="0" borderId="0" xfId="0" applyFont="1" applyFill="1" applyAlignment="1" applyProtection="1">
      <alignment horizontal="center"/>
      <protection hidden="1"/>
    </xf>
    <xf numFmtId="0" fontId="0" fillId="0" borderId="0" xfId="0" quotePrefix="1" applyProtection="1">
      <protection hidden="1"/>
    </xf>
    <xf numFmtId="0" fontId="4"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0" fontId="41" fillId="0" borderId="0" xfId="0" applyFont="1" applyAlignment="1" applyProtection="1">
      <alignment horizontal="right"/>
      <protection hidden="1"/>
    </xf>
    <xf numFmtId="8" fontId="42" fillId="0" borderId="0" xfId="0" applyNumberFormat="1" applyFont="1" applyBorder="1" applyAlignment="1" applyProtection="1">
      <alignment horizontal="right"/>
      <protection hidden="1"/>
    </xf>
    <xf numFmtId="0" fontId="40" fillId="4" borderId="0" xfId="0" applyFont="1" applyFill="1" applyAlignment="1" applyProtection="1">
      <alignment horizontal="center"/>
      <protection locked="0"/>
    </xf>
    <xf numFmtId="0" fontId="86" fillId="0" borderId="0" xfId="0" applyFont="1" applyAlignment="1" applyProtection="1">
      <alignment horizontal="right"/>
      <protection hidden="1"/>
    </xf>
    <xf numFmtId="0" fontId="48" fillId="0" borderId="0" xfId="0" quotePrefix="1" applyFont="1" applyBorder="1" applyAlignment="1" applyProtection="1">
      <alignment horizontal="left"/>
      <protection hidden="1"/>
    </xf>
    <xf numFmtId="0" fontId="33" fillId="0" borderId="5" xfId="0" applyFont="1" applyBorder="1" applyAlignment="1" applyProtection="1">
      <alignment horizontal="left"/>
      <protection locked="0"/>
    </xf>
    <xf numFmtId="0" fontId="33" fillId="0" borderId="10" xfId="0" applyFont="1" applyBorder="1" applyAlignment="1" applyProtection="1">
      <alignment horizontal="center"/>
      <protection locked="0"/>
    </xf>
    <xf numFmtId="0" fontId="111" fillId="0" borderId="6" xfId="0" applyFont="1" applyBorder="1" applyAlignment="1">
      <alignment horizontal="left"/>
    </xf>
    <xf numFmtId="0" fontId="66" fillId="0" borderId="24" xfId="0" applyFont="1" applyBorder="1" applyAlignment="1">
      <alignment horizontal="left"/>
    </xf>
    <xf numFmtId="0" fontId="66" fillId="0" borderId="2" xfId="0" applyFont="1" applyBorder="1" applyAlignment="1">
      <alignment horizontal="left"/>
    </xf>
    <xf numFmtId="0" fontId="66" fillId="0" borderId="25" xfId="0" applyFont="1" applyBorder="1" applyAlignment="1">
      <alignment horizontal="left"/>
    </xf>
    <xf numFmtId="0" fontId="66" fillId="0" borderId="20" xfId="0" applyFont="1" applyBorder="1" applyAlignment="1">
      <alignment horizontal="left"/>
    </xf>
    <xf numFmtId="0" fontId="66" fillId="0" borderId="1" xfId="0" applyFont="1" applyBorder="1" applyAlignment="1">
      <alignment horizontal="left"/>
    </xf>
    <xf numFmtId="0" fontId="66" fillId="0" borderId="4" xfId="0" applyFont="1" applyBorder="1" applyAlignment="1">
      <alignment horizontal="left"/>
    </xf>
    <xf numFmtId="0" fontId="111" fillId="0" borderId="26" xfId="0" applyFont="1" applyBorder="1" applyAlignment="1">
      <alignment horizontal="center" vertical="center"/>
    </xf>
    <xf numFmtId="0" fontId="111" fillId="0" borderId="27" xfId="0" applyFont="1" applyBorder="1" applyAlignment="1">
      <alignment horizontal="center" vertical="center"/>
    </xf>
    <xf numFmtId="0" fontId="111" fillId="0" borderId="24" xfId="0" applyFont="1" applyBorder="1" applyAlignment="1">
      <alignment horizontal="right"/>
    </xf>
    <xf numFmtId="0" fontId="111" fillId="0" borderId="2" xfId="0" applyFont="1" applyBorder="1" applyAlignment="1">
      <alignment horizontal="right"/>
    </xf>
    <xf numFmtId="0" fontId="111" fillId="0" borderId="25" xfId="0" applyFont="1" applyBorder="1" applyAlignment="1">
      <alignment horizontal="right"/>
    </xf>
    <xf numFmtId="0" fontId="66" fillId="0" borderId="6" xfId="0" applyFont="1" applyBorder="1" applyAlignment="1">
      <alignment horizontal="center"/>
    </xf>
    <xf numFmtId="0" fontId="66" fillId="0" borderId="3" xfId="0" applyFont="1" applyBorder="1" applyAlignment="1">
      <alignment horizontal="center"/>
    </xf>
    <xf numFmtId="0" fontId="66" fillId="0" borderId="7" xfId="0" applyFont="1" applyBorder="1" applyAlignment="1">
      <alignment horizontal="center"/>
    </xf>
    <xf numFmtId="0" fontId="111" fillId="0" borderId="6" xfId="0" applyFont="1" applyBorder="1" applyAlignment="1">
      <alignment horizontal="right"/>
    </xf>
    <xf numFmtId="0" fontId="111" fillId="0" borderId="3" xfId="0" applyFont="1" applyBorder="1" applyAlignment="1">
      <alignment horizontal="right"/>
    </xf>
    <xf numFmtId="0" fontId="111" fillId="0" borderId="7" xfId="0" applyFont="1" applyBorder="1" applyAlignment="1">
      <alignment horizontal="right"/>
    </xf>
    <xf numFmtId="0" fontId="66" fillId="0" borderId="24" xfId="0" applyFont="1" applyBorder="1" applyAlignment="1">
      <alignment horizontal="center"/>
    </xf>
    <xf numFmtId="0" fontId="66" fillId="0" borderId="2" xfId="0" applyFont="1" applyBorder="1" applyAlignment="1">
      <alignment horizontal="center"/>
    </xf>
    <xf numFmtId="0" fontId="66" fillId="0" borderId="25" xfId="0" applyFont="1" applyBorder="1" applyAlignment="1">
      <alignment horizontal="center"/>
    </xf>
    <xf numFmtId="0" fontId="66" fillId="0" borderId="20" xfId="0" applyFont="1" applyBorder="1" applyAlignment="1">
      <alignment horizontal="center"/>
    </xf>
    <xf numFmtId="0" fontId="66" fillId="0" borderId="1" xfId="0" applyFont="1" applyBorder="1" applyAlignment="1">
      <alignment horizontal="center"/>
    </xf>
    <xf numFmtId="0" fontId="66" fillId="0" borderId="4" xfId="0" applyFont="1" applyBorder="1" applyAlignment="1">
      <alignment horizontal="center"/>
    </xf>
    <xf numFmtId="0" fontId="111" fillId="0" borderId="26" xfId="0" applyFont="1" applyFill="1" applyBorder="1" applyAlignment="1">
      <alignment horizontal="center"/>
    </xf>
    <xf numFmtId="0" fontId="111" fillId="0" borderId="28" xfId="0" applyFont="1" applyFill="1" applyBorder="1" applyAlignment="1">
      <alignment horizontal="center"/>
    </xf>
    <xf numFmtId="8" fontId="111" fillId="0" borderId="28" xfId="0" applyNumberFormat="1" applyFont="1" applyFill="1" applyBorder="1" applyAlignment="1">
      <alignment horizontal="center" vertical="top"/>
    </xf>
    <xf numFmtId="0" fontId="111" fillId="0" borderId="28" xfId="0" applyFont="1" applyFill="1" applyBorder="1" applyAlignment="1">
      <alignment horizontal="center" vertical="top"/>
    </xf>
    <xf numFmtId="0" fontId="111" fillId="0" borderId="27" xfId="0" applyFont="1" applyFill="1" applyBorder="1" applyAlignment="1">
      <alignment horizontal="center" vertical="top"/>
    </xf>
    <xf numFmtId="0" fontId="66" fillId="0" borderId="6" xfId="0" applyFont="1" applyBorder="1" applyAlignment="1"/>
    <xf numFmtId="0" fontId="66" fillId="0" borderId="3" xfId="0" applyFont="1" applyBorder="1" applyAlignment="1"/>
    <xf numFmtId="0" fontId="66" fillId="0" borderId="7" xfId="0" applyFont="1" applyBorder="1" applyAlignment="1"/>
    <xf numFmtId="0" fontId="111" fillId="0" borderId="26" xfId="0" applyFont="1" applyBorder="1" applyAlignment="1">
      <alignment horizontal="center"/>
    </xf>
    <xf numFmtId="0" fontId="111" fillId="0" borderId="28" xfId="0" applyFont="1" applyBorder="1" applyAlignment="1">
      <alignment horizontal="center"/>
    </xf>
    <xf numFmtId="0" fontId="66" fillId="0" borderId="28" xfId="0" applyFont="1" applyBorder="1" applyAlignment="1">
      <alignment horizontal="center"/>
    </xf>
    <xf numFmtId="0" fontId="111" fillId="0" borderId="8" xfId="0" applyFont="1" applyBorder="1" applyAlignment="1">
      <alignment horizontal="left"/>
    </xf>
    <xf numFmtId="0" fontId="4" fillId="0" borderId="51" xfId="0" applyFont="1" applyBorder="1" applyAlignment="1" applyProtection="1">
      <alignment horizontal="right"/>
      <protection hidden="1"/>
    </xf>
    <xf numFmtId="0" fontId="4" fillId="0" borderId="29" xfId="0" applyFont="1" applyBorder="1" applyAlignment="1" applyProtection="1">
      <alignment horizontal="right"/>
      <protection hidden="1"/>
    </xf>
    <xf numFmtId="0" fontId="4" fillId="0" borderId="31" xfId="0" applyFont="1" applyBorder="1" applyAlignment="1">
      <alignment horizontal="center"/>
    </xf>
    <xf numFmtId="0" fontId="4" fillId="0" borderId="33" xfId="0" applyFont="1" applyBorder="1" applyAlignment="1">
      <alignment horizontal="center"/>
    </xf>
    <xf numFmtId="0" fontId="4" fillId="0" borderId="47" xfId="0" applyFont="1" applyBorder="1" applyAlignment="1">
      <alignment horizontal="center"/>
    </xf>
    <xf numFmtId="0" fontId="4" fillId="0" borderId="1" xfId="0" applyFont="1" applyFill="1" applyBorder="1" applyAlignment="1" applyProtection="1">
      <alignment horizontal="center"/>
      <protection hidden="1"/>
    </xf>
    <xf numFmtId="0" fontId="101" fillId="0" borderId="8" xfId="0" applyFont="1" applyFill="1" applyBorder="1" applyAlignment="1" applyProtection="1">
      <alignment horizontal="center"/>
      <protection hidden="1"/>
    </xf>
    <xf numFmtId="0" fontId="4" fillId="0" borderId="30" xfId="0" applyFont="1" applyBorder="1" applyAlignment="1" applyProtection="1">
      <alignment horizontal="right"/>
      <protection hidden="1"/>
    </xf>
    <xf numFmtId="0" fontId="4" fillId="0" borderId="3" xfId="0" applyFont="1" applyBorder="1" applyAlignment="1" applyProtection="1">
      <alignment horizontal="right"/>
      <protection hidden="1"/>
    </xf>
    <xf numFmtId="0" fontId="4" fillId="0" borderId="7" xfId="0" applyFont="1" applyBorder="1" applyAlignment="1" applyProtection="1">
      <alignment horizontal="right"/>
      <protection hidden="1"/>
    </xf>
    <xf numFmtId="0" fontId="4" fillId="0" borderId="31" xfId="0" applyFont="1" applyBorder="1" applyAlignment="1" applyProtection="1">
      <alignment horizontal="right"/>
      <protection hidden="1"/>
    </xf>
    <xf numFmtId="0" fontId="4" fillId="0" borderId="33" xfId="0" applyFont="1" applyBorder="1" applyAlignment="1" applyProtection="1">
      <alignment horizontal="right"/>
      <protection hidden="1"/>
    </xf>
    <xf numFmtId="0" fontId="4" fillId="0" borderId="34" xfId="0" applyFont="1" applyBorder="1" applyAlignment="1" applyProtection="1">
      <alignment horizontal="right"/>
      <protection hidden="1"/>
    </xf>
    <xf numFmtId="0" fontId="4" fillId="0" borderId="37" xfId="0" applyFont="1" applyBorder="1" applyAlignment="1" applyProtection="1">
      <alignment horizontal="right"/>
      <protection hidden="1"/>
    </xf>
    <xf numFmtId="0" fontId="4" fillId="0" borderId="38" xfId="0" applyFont="1" applyBorder="1" applyAlignment="1" applyProtection="1">
      <alignment horizontal="right"/>
      <protection hidden="1"/>
    </xf>
    <xf numFmtId="0" fontId="4" fillId="0" borderId="39" xfId="0" applyFont="1" applyBorder="1" applyAlignment="1" applyProtection="1">
      <alignment horizontal="right"/>
      <protection hidden="1"/>
    </xf>
    <xf numFmtId="0" fontId="4" fillId="0" borderId="50" xfId="0" applyFont="1" applyBorder="1" applyAlignment="1" applyProtection="1">
      <alignment horizontal="right"/>
      <protection hidden="1"/>
    </xf>
    <xf numFmtId="8" fontId="9" fillId="0" borderId="0" xfId="0" applyNumberFormat="1" applyFont="1" applyBorder="1" applyAlignment="1" applyProtection="1">
      <alignment horizontal="right"/>
      <protection hidden="1"/>
    </xf>
    <xf numFmtId="0" fontId="10" fillId="0" borderId="0" xfId="0" quotePrefix="1" applyFont="1" applyBorder="1" applyAlignment="1" applyProtection="1">
      <alignment horizontal="left"/>
      <protection hidden="1"/>
    </xf>
    <xf numFmtId="0" fontId="21" fillId="5" borderId="8" xfId="0" applyFont="1" applyFill="1" applyBorder="1" applyAlignment="1">
      <alignment horizontal="center"/>
    </xf>
    <xf numFmtId="0" fontId="21" fillId="2" borderId="8" xfId="0" applyFont="1" applyFill="1" applyBorder="1" applyAlignment="1">
      <alignment horizontal="center"/>
    </xf>
    <xf numFmtId="0" fontId="92" fillId="0" borderId="1" xfId="0" applyFont="1" applyFill="1" applyBorder="1" applyAlignment="1" applyProtection="1">
      <alignment horizontal="center" vertical="center" wrapText="1"/>
      <protection hidden="1"/>
    </xf>
    <xf numFmtId="0" fontId="21" fillId="0" borderId="0" xfId="0" applyFont="1" applyAlignment="1" applyProtection="1">
      <alignment horizontal="center"/>
      <protection locked="0"/>
    </xf>
    <xf numFmtId="0" fontId="62" fillId="0" borderId="0" xfId="0" applyFont="1" applyAlignment="1">
      <alignment horizontal="center" vertical="center"/>
    </xf>
    <xf numFmtId="0" fontId="71" fillId="0" borderId="0" xfId="0" applyFont="1" applyAlignment="1">
      <alignment horizontal="left"/>
    </xf>
    <xf numFmtId="0" fontId="37" fillId="0" borderId="0" xfId="0" applyFont="1" applyAlignment="1">
      <alignment horizontal="center"/>
    </xf>
    <xf numFmtId="0" fontId="58" fillId="0" borderId="0" xfId="1" applyFont="1" applyBorder="1" applyAlignment="1" applyProtection="1">
      <alignment horizontal="center"/>
      <protection locked="0"/>
    </xf>
    <xf numFmtId="0" fontId="4" fillId="0" borderId="10" xfId="0" applyFont="1" applyBorder="1" applyAlignment="1" applyProtection="1">
      <alignment horizontal="left"/>
      <protection locked="0"/>
    </xf>
    <xf numFmtId="0" fontId="0" fillId="0" borderId="10" xfId="0" applyBorder="1" applyAlignment="1" applyProtection="1">
      <alignment horizontal="left"/>
      <protection locked="0"/>
    </xf>
    <xf numFmtId="0" fontId="70" fillId="0" borderId="0" xfId="0" applyFont="1" applyAlignment="1">
      <alignment horizontal="center"/>
    </xf>
    <xf numFmtId="0" fontId="4" fillId="0" borderId="5" xfId="0" applyFont="1" applyBorder="1" applyAlignment="1" applyProtection="1">
      <alignment horizontal="left"/>
      <protection locked="0"/>
    </xf>
    <xf numFmtId="0" fontId="0" fillId="0" borderId="5" xfId="0" applyBorder="1" applyAlignment="1" applyProtection="1">
      <alignment horizontal="left"/>
      <protection locked="0"/>
    </xf>
    <xf numFmtId="0" fontId="0" fillId="0" borderId="0" xfId="0" applyAlignment="1">
      <alignment horizontal="center"/>
    </xf>
    <xf numFmtId="0" fontId="21" fillId="0" borderId="5" xfId="0" applyFont="1" applyBorder="1" applyAlignment="1" applyProtection="1">
      <alignment horizontal="center"/>
      <protection hidden="1"/>
    </xf>
    <xf numFmtId="14" fontId="21" fillId="0" borderId="5" xfId="0" applyNumberFormat="1" applyFont="1" applyBorder="1" applyAlignment="1" applyProtection="1">
      <alignment horizontal="center"/>
      <protection locked="0"/>
    </xf>
    <xf numFmtId="0" fontId="4" fillId="0" borderId="0" xfId="0" applyFont="1" applyAlignment="1">
      <alignment horizontal="center"/>
    </xf>
    <xf numFmtId="0" fontId="2" fillId="4" borderId="1" xfId="2" applyFont="1" applyFill="1" applyBorder="1" applyAlignment="1" applyProtection="1">
      <alignment horizontal="center"/>
      <protection locked="0"/>
    </xf>
    <xf numFmtId="0" fontId="3" fillId="4" borderId="1" xfId="2" applyFill="1" applyBorder="1" applyAlignment="1" applyProtection="1">
      <alignment horizontal="center"/>
      <protection locked="0"/>
    </xf>
    <xf numFmtId="0" fontId="81" fillId="0" borderId="6" xfId="2" applyFont="1" applyBorder="1" applyAlignment="1" applyProtection="1">
      <alignment horizontal="center"/>
      <protection hidden="1"/>
    </xf>
    <xf numFmtId="0" fontId="81" fillId="0" borderId="3" xfId="2" applyFont="1" applyBorder="1" applyAlignment="1" applyProtection="1">
      <alignment horizontal="center"/>
      <protection hidden="1"/>
    </xf>
    <xf numFmtId="0" fontId="81" fillId="0" borderId="7" xfId="2" applyFont="1" applyBorder="1" applyAlignment="1" applyProtection="1">
      <alignment horizontal="center"/>
      <protection hidden="1"/>
    </xf>
    <xf numFmtId="0" fontId="3" fillId="4" borderId="3" xfId="2" applyFill="1" applyBorder="1" applyAlignment="1" applyProtection="1">
      <alignment horizontal="center"/>
      <protection locked="0"/>
    </xf>
    <xf numFmtId="164" fontId="85" fillId="0" borderId="0" xfId="2" applyNumberFormat="1" applyFont="1" applyBorder="1" applyAlignment="1" applyProtection="1">
      <alignment horizontal="right"/>
      <protection hidden="1"/>
    </xf>
    <xf numFmtId="164" fontId="84" fillId="0" borderId="0" xfId="2" applyNumberFormat="1" applyFont="1" applyBorder="1" applyAlignment="1" applyProtection="1">
      <alignment horizontal="left"/>
      <protection hidden="1"/>
    </xf>
    <xf numFmtId="0" fontId="84" fillId="0" borderId="0" xfId="2" applyFont="1" applyAlignment="1" applyProtection="1">
      <alignment horizontal="center"/>
      <protection hidden="1"/>
    </xf>
    <xf numFmtId="164" fontId="82" fillId="4" borderId="6" xfId="2" applyNumberFormat="1" applyFont="1" applyFill="1" applyBorder="1" applyAlignment="1" applyProtection="1">
      <alignment horizontal="center"/>
      <protection locked="0"/>
    </xf>
    <xf numFmtId="164" fontId="82" fillId="4" borderId="7" xfId="2" applyNumberFormat="1" applyFont="1" applyFill="1" applyBorder="1" applyAlignment="1" applyProtection="1">
      <alignment horizontal="center"/>
      <protection locked="0"/>
    </xf>
    <xf numFmtId="0" fontId="82" fillId="0" borderId="0" xfId="2" applyFont="1" applyBorder="1" applyAlignment="1" applyProtection="1">
      <alignment horizontal="center"/>
      <protection hidden="1"/>
    </xf>
    <xf numFmtId="0" fontId="80" fillId="0" borderId="19" xfId="2" applyFont="1" applyBorder="1" applyAlignment="1" applyProtection="1">
      <alignment horizontal="right"/>
      <protection hidden="1"/>
    </xf>
    <xf numFmtId="0" fontId="80" fillId="0" borderId="0" xfId="2" applyFont="1" applyAlignment="1" applyProtection="1">
      <alignment horizontal="right"/>
      <protection hidden="1"/>
    </xf>
    <xf numFmtId="0" fontId="1" fillId="4" borderId="1" xfId="2" applyFont="1" applyFill="1" applyBorder="1" applyAlignment="1" applyProtection="1">
      <alignment horizontal="center"/>
      <protection locked="0"/>
    </xf>
    <xf numFmtId="0" fontId="1" fillId="4" borderId="3" xfId="2" applyFont="1" applyFill="1" applyBorder="1" applyAlignment="1" applyProtection="1">
      <alignment horizontal="center"/>
      <protection locked="0"/>
    </xf>
    <xf numFmtId="0" fontId="79" fillId="4" borderId="6" xfId="2" applyFont="1" applyFill="1" applyBorder="1" applyAlignment="1" applyProtection="1">
      <alignment horizontal="left"/>
      <protection locked="0"/>
    </xf>
    <xf numFmtId="0" fontId="79" fillId="4" borderId="3" xfId="2" applyFont="1" applyFill="1" applyBorder="1" applyAlignment="1" applyProtection="1">
      <alignment horizontal="left"/>
      <protection locked="0"/>
    </xf>
    <xf numFmtId="0" fontId="79" fillId="4" borderId="7" xfId="2" applyFont="1" applyFill="1" applyBorder="1" applyAlignment="1" applyProtection="1">
      <alignment horizontal="left"/>
      <protection locked="0"/>
    </xf>
    <xf numFmtId="0" fontId="82" fillId="0" borderId="6" xfId="2" applyFont="1" applyBorder="1" applyAlignment="1" applyProtection="1">
      <alignment horizontal="center"/>
      <protection hidden="1"/>
    </xf>
    <xf numFmtId="0" fontId="82" fillId="0" borderId="3" xfId="2" applyFont="1" applyBorder="1" applyAlignment="1" applyProtection="1">
      <alignment horizontal="center"/>
      <protection hidden="1"/>
    </xf>
    <xf numFmtId="0" fontId="82" fillId="0" borderId="7" xfId="2" applyFont="1" applyBorder="1" applyAlignment="1" applyProtection="1">
      <alignment horizontal="center"/>
      <protection hidden="1"/>
    </xf>
    <xf numFmtId="0" fontId="21" fillId="0" borderId="24" xfId="0" applyFont="1" applyBorder="1" applyAlignment="1" applyProtection="1">
      <alignment horizontal="center" vertical="center" wrapText="1"/>
      <protection hidden="1"/>
    </xf>
    <xf numFmtId="0" fontId="21" fillId="0" borderId="2" xfId="0" applyFont="1" applyBorder="1" applyAlignment="1" applyProtection="1">
      <alignment horizontal="center" vertical="center" wrapText="1"/>
      <protection hidden="1"/>
    </xf>
    <xf numFmtId="0" fontId="21" fillId="0" borderId="25" xfId="0" applyFont="1" applyBorder="1" applyAlignment="1" applyProtection="1">
      <alignment horizontal="center" vertical="center" wrapText="1"/>
      <protection hidden="1"/>
    </xf>
    <xf numFmtId="0" fontId="21" fillId="0" borderId="19" xfId="0" applyFont="1" applyBorder="1" applyAlignment="1" applyProtection="1">
      <alignment horizontal="center" vertical="center" wrapText="1"/>
      <protection hidden="1"/>
    </xf>
    <xf numFmtId="0" fontId="21" fillId="0" borderId="0" xfId="0" applyFont="1" applyBorder="1" applyAlignment="1" applyProtection="1">
      <alignment horizontal="center" vertical="center" wrapText="1"/>
      <protection hidden="1"/>
    </xf>
    <xf numFmtId="0" fontId="21" fillId="0" borderId="12" xfId="0" applyFont="1" applyBorder="1" applyAlignment="1" applyProtection="1">
      <alignment horizontal="center" vertical="center" wrapText="1"/>
      <protection hidden="1"/>
    </xf>
    <xf numFmtId="0" fontId="21" fillId="0" borderId="20" xfId="0" applyFont="1" applyBorder="1" applyAlignment="1" applyProtection="1">
      <alignment horizontal="center" vertical="center" wrapText="1"/>
      <protection hidden="1"/>
    </xf>
    <xf numFmtId="0" fontId="21" fillId="0" borderId="4" xfId="0" applyFont="1" applyBorder="1" applyAlignment="1" applyProtection="1">
      <alignment horizontal="center" vertical="center" wrapText="1"/>
      <protection hidden="1"/>
    </xf>
    <xf numFmtId="0" fontId="4" fillId="7" borderId="28" xfId="0" applyFont="1" applyFill="1" applyBorder="1" applyAlignment="1" applyProtection="1">
      <alignment horizontal="center"/>
      <protection hidden="1"/>
    </xf>
    <xf numFmtId="0" fontId="0" fillId="7" borderId="28" xfId="0" applyFill="1" applyBorder="1" applyAlignment="1" applyProtection="1">
      <alignment horizontal="center"/>
      <protection hidden="1"/>
    </xf>
    <xf numFmtId="0" fontId="0" fillId="7" borderId="27" xfId="0" applyFill="1" applyBorder="1" applyAlignment="1" applyProtection="1">
      <alignment horizontal="center"/>
      <protection hidden="1"/>
    </xf>
    <xf numFmtId="0" fontId="51" fillId="0" borderId="0" xfId="0" applyFont="1" applyAlignment="1" applyProtection="1">
      <alignment horizontal="center"/>
      <protection hidden="1"/>
    </xf>
    <xf numFmtId="0" fontId="132" fillId="0" borderId="1" xfId="0" applyFont="1" applyBorder="1" applyAlignment="1" applyProtection="1">
      <alignment horizontal="center"/>
      <protection hidden="1"/>
    </xf>
    <xf numFmtId="0" fontId="41" fillId="0" borderId="1" xfId="0" applyFont="1" applyBorder="1" applyAlignment="1" applyProtection="1">
      <alignment horizontal="left"/>
      <protection hidden="1"/>
    </xf>
    <xf numFmtId="0" fontId="51" fillId="0" borderId="0" xfId="0" applyNumberFormat="1" applyFont="1" applyBorder="1" applyAlignment="1" applyProtection="1">
      <alignment horizontal="left"/>
      <protection locked="0"/>
    </xf>
    <xf numFmtId="0" fontId="51" fillId="0" borderId="10" xfId="0" applyFont="1" applyBorder="1" applyAlignment="1" applyProtection="1">
      <alignment horizontal="left"/>
      <protection locked="0"/>
    </xf>
    <xf numFmtId="0" fontId="51" fillId="0" borderId="5" xfId="0" applyFont="1" applyBorder="1" applyAlignment="1" applyProtection="1">
      <alignment horizontal="left"/>
      <protection locked="0"/>
    </xf>
    <xf numFmtId="0" fontId="51" fillId="0" borderId="10" xfId="0" applyNumberFormat="1" applyFont="1" applyFill="1" applyBorder="1" applyAlignment="1" applyProtection="1">
      <alignment horizontal="left"/>
      <protection locked="0"/>
    </xf>
    <xf numFmtId="0" fontId="51" fillId="0" borderId="10" xfId="0" applyNumberFormat="1" applyFont="1" applyFill="1" applyBorder="1" applyAlignment="1" applyProtection="1">
      <alignment horizontal="center"/>
      <protection locked="0"/>
    </xf>
    <xf numFmtId="0" fontId="133" fillId="0" borderId="3" xfId="0" applyFont="1" applyBorder="1" applyAlignment="1" applyProtection="1">
      <alignment horizontal="right"/>
      <protection hidden="1"/>
    </xf>
    <xf numFmtId="16" fontId="51" fillId="0" borderId="10" xfId="0" applyNumberFormat="1" applyFont="1" applyBorder="1" applyAlignment="1" applyProtection="1">
      <alignment horizontal="left"/>
      <protection locked="0"/>
    </xf>
    <xf numFmtId="0" fontId="131" fillId="4" borderId="6" xfId="0" applyFont="1" applyFill="1" applyBorder="1" applyAlignment="1" applyProtection="1">
      <alignment horizontal="center" vertical="center"/>
      <protection hidden="1"/>
    </xf>
    <xf numFmtId="0" fontId="131" fillId="4" borderId="7" xfId="0" applyFont="1" applyFill="1" applyBorder="1" applyAlignment="1" applyProtection="1">
      <alignment horizontal="center" vertical="center"/>
      <protection hidden="1"/>
    </xf>
    <xf numFmtId="0" fontId="21" fillId="4" borderId="64" xfId="0" applyFont="1" applyFill="1" applyBorder="1" applyAlignment="1" applyProtection="1">
      <alignment horizontal="center"/>
      <protection locked="0"/>
    </xf>
    <xf numFmtId="0" fontId="21" fillId="4" borderId="65" xfId="0" applyFont="1" applyFill="1" applyBorder="1" applyAlignment="1" applyProtection="1">
      <alignment horizontal="center"/>
      <protection locked="0"/>
    </xf>
    <xf numFmtId="0" fontId="126" fillId="0" borderId="0" xfId="1" applyFont="1" applyFill="1" applyAlignment="1" applyProtection="1">
      <alignment horizontal="left"/>
      <protection hidden="1"/>
    </xf>
    <xf numFmtId="0" fontId="24" fillId="0" borderId="0" xfId="0" applyFont="1" applyAlignment="1" applyProtection="1">
      <alignment horizontal="center"/>
      <protection hidden="1"/>
    </xf>
    <xf numFmtId="0" fontId="127" fillId="0" borderId="0" xfId="0" applyFont="1" applyAlignment="1" applyProtection="1">
      <alignment horizontal="center"/>
      <protection hidden="1"/>
    </xf>
    <xf numFmtId="0" fontId="66" fillId="18" borderId="24" xfId="0" applyFont="1" applyFill="1" applyBorder="1" applyAlignment="1" applyProtection="1">
      <alignment horizontal="center"/>
      <protection hidden="1"/>
    </xf>
    <xf numFmtId="0" fontId="66" fillId="18" borderId="25" xfId="0" applyFont="1" applyFill="1" applyBorder="1" applyAlignment="1" applyProtection="1">
      <alignment horizontal="center"/>
      <protection hidden="1"/>
    </xf>
    <xf numFmtId="164" fontId="129" fillId="0" borderId="26" xfId="0" applyNumberFormat="1" applyFont="1" applyBorder="1" applyAlignment="1" applyProtection="1">
      <alignment horizontal="center" vertical="center"/>
      <protection hidden="1"/>
    </xf>
    <xf numFmtId="164" fontId="129" fillId="0" borderId="27" xfId="0" applyNumberFormat="1" applyFont="1" applyBorder="1" applyAlignment="1" applyProtection="1">
      <alignment horizontal="center" vertical="center"/>
      <protection hidden="1"/>
    </xf>
    <xf numFmtId="0" fontId="59" fillId="4" borderId="52" xfId="0" applyFont="1" applyFill="1" applyBorder="1" applyAlignment="1" applyProtection="1">
      <alignment horizontal="center"/>
      <protection locked="0"/>
    </xf>
    <xf numFmtId="0" fontId="59" fillId="4" borderId="54" xfId="0" applyFont="1" applyFill="1" applyBorder="1" applyAlignment="1" applyProtection="1">
      <alignment horizontal="center"/>
      <protection locked="0"/>
    </xf>
    <xf numFmtId="0" fontId="51" fillId="0" borderId="1" xfId="0" applyFont="1" applyBorder="1" applyAlignment="1" applyProtection="1">
      <alignment horizontal="center"/>
      <protection hidden="1"/>
    </xf>
    <xf numFmtId="0" fontId="124" fillId="0" borderId="19" xfId="1" applyFont="1" applyBorder="1" applyAlignment="1" applyProtection="1">
      <alignment horizontal="center"/>
      <protection hidden="1"/>
    </xf>
    <xf numFmtId="0" fontId="124" fillId="0" borderId="0" xfId="1" applyFont="1" applyBorder="1" applyAlignment="1" applyProtection="1">
      <alignment horizontal="center"/>
      <protection hidden="1"/>
    </xf>
    <xf numFmtId="0" fontId="123" fillId="4" borderId="6" xfId="0" applyFont="1" applyFill="1" applyBorder="1" applyAlignment="1" applyProtection="1">
      <alignment horizontal="center"/>
      <protection hidden="1"/>
    </xf>
    <xf numFmtId="0" fontId="123" fillId="4" borderId="3" xfId="0" applyFont="1" applyFill="1" applyBorder="1" applyAlignment="1" applyProtection="1">
      <alignment horizontal="center"/>
      <protection hidden="1"/>
    </xf>
    <xf numFmtId="0" fontId="123" fillId="4" borderId="7" xfId="0" applyFont="1" applyFill="1" applyBorder="1" applyAlignment="1" applyProtection="1">
      <alignment horizontal="center"/>
      <protection hidden="1"/>
    </xf>
    <xf numFmtId="0" fontId="51" fillId="16" borderId="0" xfId="0" applyFont="1" applyFill="1" applyBorder="1" applyAlignment="1" applyProtection="1">
      <alignment horizontal="center"/>
      <protection locked="0"/>
    </xf>
    <xf numFmtId="0" fontId="51" fillId="16" borderId="12" xfId="0" applyFont="1" applyFill="1" applyBorder="1" applyAlignment="1" applyProtection="1">
      <alignment horizontal="center"/>
      <protection locked="0"/>
    </xf>
    <xf numFmtId="49" fontId="4" fillId="0" borderId="6" xfId="0" applyNumberFormat="1" applyFont="1" applyBorder="1" applyAlignment="1" applyProtection="1">
      <alignment horizontal="center"/>
      <protection locked="0"/>
    </xf>
    <xf numFmtId="49" fontId="0" fillId="0" borderId="3" xfId="0" applyNumberFormat="1" applyBorder="1" applyAlignment="1" applyProtection="1">
      <alignment horizontal="center"/>
      <protection locked="0"/>
    </xf>
    <xf numFmtId="49" fontId="0" fillId="0" borderId="7" xfId="0" applyNumberFormat="1" applyBorder="1" applyAlignment="1" applyProtection="1">
      <alignment horizontal="center"/>
      <protection locked="0"/>
    </xf>
    <xf numFmtId="0" fontId="40" fillId="0" borderId="19" xfId="0" applyFont="1" applyFill="1" applyBorder="1" applyAlignment="1" applyProtection="1">
      <alignment horizontal="center"/>
      <protection hidden="1"/>
    </xf>
    <xf numFmtId="0" fontId="40" fillId="0" borderId="12" xfId="0" applyFont="1" applyFill="1" applyBorder="1" applyAlignment="1" applyProtection="1">
      <alignment horizontal="center"/>
      <protection hidden="1"/>
    </xf>
    <xf numFmtId="1" fontId="132" fillId="0" borderId="6" xfId="0" applyNumberFormat="1" applyFont="1" applyFill="1" applyBorder="1" applyAlignment="1" applyProtection="1">
      <alignment horizontal="center"/>
      <protection hidden="1"/>
    </xf>
    <xf numFmtId="1" fontId="132" fillId="0" borderId="7" xfId="0" applyNumberFormat="1" applyFont="1" applyFill="1" applyBorder="1" applyAlignment="1" applyProtection="1">
      <alignment horizontal="center"/>
      <protection hidden="1"/>
    </xf>
    <xf numFmtId="0" fontId="41" fillId="4" borderId="8" xfId="0" applyFont="1" applyFill="1" applyBorder="1" applyAlignment="1" applyProtection="1">
      <alignment horizontal="center"/>
      <protection hidden="1"/>
    </xf>
    <xf numFmtId="0" fontId="123" fillId="0" borderId="0" xfId="0" applyFont="1" applyAlignment="1" applyProtection="1">
      <alignment horizontal="right"/>
      <protection hidden="1"/>
    </xf>
    <xf numFmtId="0" fontId="21" fillId="4" borderId="52" xfId="0" applyFont="1" applyFill="1" applyBorder="1" applyAlignment="1" applyProtection="1">
      <alignment horizontal="center" vertical="center"/>
      <protection locked="0"/>
    </xf>
    <xf numFmtId="0" fontId="21" fillId="4" borderId="54" xfId="0" applyFont="1" applyFill="1" applyBorder="1" applyAlignment="1" applyProtection="1">
      <alignment horizontal="center" vertical="center"/>
      <protection locked="0"/>
    </xf>
    <xf numFmtId="0" fontId="134" fillId="0" borderId="0" xfId="0" applyFont="1" applyBorder="1" applyAlignment="1" applyProtection="1">
      <alignment horizontal="right"/>
      <protection hidden="1"/>
    </xf>
    <xf numFmtId="0" fontId="135" fillId="0" borderId="0" xfId="0" applyFont="1" applyBorder="1" applyAlignment="1" applyProtection="1">
      <alignment horizontal="right"/>
      <protection hidden="1"/>
    </xf>
    <xf numFmtId="0" fontId="70" fillId="0" borderId="0" xfId="0" applyFont="1" applyBorder="1" applyAlignment="1" applyProtection="1">
      <alignment horizontal="right"/>
      <protection hidden="1"/>
    </xf>
    <xf numFmtId="164" fontId="9" fillId="4" borderId="26" xfId="0" applyNumberFormat="1" applyFont="1" applyFill="1" applyBorder="1" applyAlignment="1" applyProtection="1">
      <alignment horizontal="center" vertical="center" wrapText="1"/>
      <protection hidden="1"/>
    </xf>
    <xf numFmtId="164" fontId="9" fillId="4" borderId="27" xfId="0" applyNumberFormat="1" applyFont="1" applyFill="1" applyBorder="1" applyAlignment="1" applyProtection="1">
      <alignment horizontal="center" vertical="center" wrapText="1"/>
      <protection hidden="1"/>
    </xf>
    <xf numFmtId="1" fontId="123" fillId="0" borderId="3" xfId="0" applyNumberFormat="1" applyFont="1" applyFill="1" applyBorder="1" applyAlignment="1" applyProtection="1">
      <alignment horizontal="right"/>
      <protection hidden="1"/>
    </xf>
    <xf numFmtId="1" fontId="146" fillId="4" borderId="30" xfId="0" applyNumberFormat="1" applyFont="1" applyFill="1" applyBorder="1" applyAlignment="1" applyProtection="1">
      <alignment horizontal="center" vertical="center" wrapText="1"/>
      <protection locked="0"/>
    </xf>
    <xf numFmtId="1" fontId="146" fillId="4" borderId="7" xfId="0" applyNumberFormat="1" applyFont="1" applyFill="1" applyBorder="1" applyAlignment="1" applyProtection="1">
      <alignment horizontal="center" vertical="center" wrapText="1"/>
      <protection locked="0"/>
    </xf>
    <xf numFmtId="0" fontId="131" fillId="4" borderId="24" xfId="0" applyFont="1" applyFill="1" applyBorder="1" applyAlignment="1" applyProtection="1">
      <alignment horizontal="center" vertical="top" wrapText="1"/>
      <protection hidden="1"/>
    </xf>
    <xf numFmtId="0" fontId="131" fillId="4" borderId="25" xfId="0" applyFont="1" applyFill="1" applyBorder="1" applyAlignment="1" applyProtection="1">
      <alignment horizontal="center" vertical="top" wrapText="1"/>
      <protection hidden="1"/>
    </xf>
    <xf numFmtId="0" fontId="131" fillId="4" borderId="20" xfId="0" applyFont="1" applyFill="1" applyBorder="1" applyAlignment="1" applyProtection="1">
      <alignment horizontal="center" vertical="top" wrapText="1"/>
      <protection hidden="1"/>
    </xf>
    <xf numFmtId="0" fontId="131" fillId="4" borderId="4" xfId="0" applyFont="1" applyFill="1" applyBorder="1" applyAlignment="1" applyProtection="1">
      <alignment horizontal="center" vertical="top" wrapText="1"/>
      <protection hidden="1"/>
    </xf>
    <xf numFmtId="20" fontId="21" fillId="17" borderId="6" xfId="0" applyNumberFormat="1" applyFont="1" applyFill="1" applyBorder="1" applyAlignment="1" applyProtection="1">
      <alignment horizontal="center"/>
      <protection hidden="1"/>
    </xf>
    <xf numFmtId="20" fontId="21" fillId="17" borderId="45" xfId="0" applyNumberFormat="1" applyFont="1" applyFill="1" applyBorder="1" applyAlignment="1" applyProtection="1">
      <alignment horizontal="center"/>
      <protection hidden="1"/>
    </xf>
    <xf numFmtId="0" fontId="0" fillId="0" borderId="8" xfId="0" applyBorder="1" applyAlignment="1" applyProtection="1">
      <alignment horizontal="center"/>
      <protection hidden="1"/>
    </xf>
    <xf numFmtId="0" fontId="0" fillId="0" borderId="36" xfId="0" applyBorder="1" applyAlignment="1" applyProtection="1">
      <alignment horizontal="center"/>
      <protection hidden="1"/>
    </xf>
    <xf numFmtId="0" fontId="4" fillId="0" borderId="8" xfId="0" applyFont="1" applyBorder="1" applyAlignment="1" applyProtection="1">
      <alignment horizontal="center"/>
      <protection hidden="1"/>
    </xf>
    <xf numFmtId="0" fontId="21" fillId="2" borderId="6" xfId="0" applyFont="1" applyFill="1" applyBorder="1" applyAlignment="1" applyProtection="1">
      <alignment horizontal="center"/>
      <protection hidden="1"/>
    </xf>
    <xf numFmtId="0" fontId="21" fillId="2" borderId="3" xfId="0" applyFont="1" applyFill="1" applyBorder="1" applyAlignment="1" applyProtection="1">
      <alignment horizontal="center"/>
      <protection hidden="1"/>
    </xf>
    <xf numFmtId="0" fontId="21" fillId="2" borderId="7" xfId="0" applyFont="1" applyFill="1" applyBorder="1" applyAlignment="1" applyProtection="1">
      <alignment horizontal="center"/>
      <protection hidden="1"/>
    </xf>
    <xf numFmtId="0" fontId="0" fillId="0" borderId="2"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7" xfId="0" applyBorder="1" applyAlignment="1" applyProtection="1">
      <alignment horizontal="center"/>
      <protection hidden="1"/>
    </xf>
    <xf numFmtId="0" fontId="51" fillId="16" borderId="24" xfId="0" applyFont="1" applyFill="1" applyBorder="1" applyAlignment="1" applyProtection="1">
      <alignment horizontal="center" vertical="center"/>
      <protection locked="0"/>
    </xf>
    <xf numFmtId="0" fontId="51" fillId="16" borderId="25" xfId="0" applyFont="1" applyFill="1" applyBorder="1" applyAlignment="1" applyProtection="1">
      <alignment horizontal="center" vertical="center"/>
      <protection locked="0"/>
    </xf>
    <xf numFmtId="0" fontId="51" fillId="16" borderId="20" xfId="0" applyFont="1" applyFill="1" applyBorder="1" applyAlignment="1" applyProtection="1">
      <alignment horizontal="center" vertical="center"/>
      <protection locked="0"/>
    </xf>
    <xf numFmtId="0" fontId="51" fillId="16" borderId="4" xfId="0" applyFont="1" applyFill="1" applyBorder="1" applyAlignment="1" applyProtection="1">
      <alignment horizontal="center" vertical="center"/>
      <protection locked="0"/>
    </xf>
    <xf numFmtId="0" fontId="21" fillId="17" borderId="3" xfId="0" applyFont="1" applyFill="1" applyBorder="1" applyAlignment="1" applyProtection="1">
      <alignment horizontal="center"/>
      <protection hidden="1"/>
    </xf>
    <xf numFmtId="0" fontId="21" fillId="17" borderId="7" xfId="0" applyFont="1" applyFill="1" applyBorder="1" applyAlignment="1" applyProtection="1">
      <alignment horizontal="center"/>
      <protection hidden="1"/>
    </xf>
    <xf numFmtId="0" fontId="0" fillId="0" borderId="0" xfId="0" applyAlignment="1" applyProtection="1">
      <alignment horizontal="left"/>
      <protection hidden="1"/>
    </xf>
    <xf numFmtId="14" fontId="0" fillId="0" borderId="1" xfId="0" applyNumberFormat="1" applyBorder="1" applyAlignment="1" applyProtection="1">
      <alignment horizontal="center"/>
      <protection locked="0"/>
    </xf>
    <xf numFmtId="0" fontId="16" fillId="0" borderId="0" xfId="1" applyAlignment="1" applyProtection="1">
      <alignment horizontal="center"/>
      <protection locked="0"/>
    </xf>
    <xf numFmtId="0" fontId="16" fillId="0" borderId="0" xfId="1" quotePrefix="1" applyAlignment="1" applyProtection="1">
      <alignment horizontal="center"/>
      <protection locked="0"/>
    </xf>
    <xf numFmtId="0" fontId="124" fillId="0" borderId="0" xfId="0" applyFont="1" applyFill="1" applyAlignment="1" applyProtection="1">
      <alignment horizontal="center"/>
      <protection locked="0"/>
    </xf>
    <xf numFmtId="0" fontId="66" fillId="14" borderId="0" xfId="1" applyFont="1" applyFill="1" applyAlignment="1" applyProtection="1">
      <alignment horizontal="center"/>
      <protection locked="0"/>
    </xf>
    <xf numFmtId="0" fontId="111" fillId="15" borderId="0" xfId="1" quotePrefix="1" applyFont="1" applyFill="1" applyAlignment="1" applyProtection="1">
      <alignment horizontal="center"/>
      <protection locked="0"/>
    </xf>
    <xf numFmtId="0" fontId="111" fillId="15" borderId="0" xfId="1" applyFont="1" applyFill="1" applyAlignment="1" applyProtection="1">
      <alignment horizontal="center"/>
      <protection locked="0"/>
    </xf>
    <xf numFmtId="0" fontId="111" fillId="20" borderId="0" xfId="1" applyFont="1" applyFill="1" applyAlignment="1" applyProtection="1">
      <alignment horizontal="center"/>
      <protection locked="0"/>
    </xf>
    <xf numFmtId="0" fontId="111" fillId="14" borderId="0" xfId="1" applyFont="1" applyFill="1" applyAlignment="1" applyProtection="1">
      <alignment horizontal="center"/>
      <protection locked="0"/>
    </xf>
    <xf numFmtId="0" fontId="57" fillId="0" borderId="0" xfId="0" applyFont="1" applyAlignment="1" applyProtection="1">
      <alignment horizontal="center"/>
      <protection hidden="1"/>
    </xf>
    <xf numFmtId="0" fontId="111" fillId="11" borderId="19" xfId="0" applyFont="1" applyFill="1" applyBorder="1" applyAlignment="1" applyProtection="1">
      <alignment horizontal="center"/>
      <protection hidden="1"/>
    </xf>
    <xf numFmtId="0" fontId="111" fillId="11" borderId="0" xfId="0" applyFont="1" applyFill="1" applyBorder="1" applyAlignment="1" applyProtection="1">
      <alignment horizontal="center"/>
      <protection hidden="1"/>
    </xf>
    <xf numFmtId="164" fontId="58" fillId="0" borderId="19" xfId="0" applyNumberFormat="1" applyFont="1" applyBorder="1" applyAlignment="1" applyProtection="1">
      <alignment horizontal="center"/>
      <protection hidden="1"/>
    </xf>
    <xf numFmtId="164" fontId="58" fillId="0" borderId="0" xfId="0" applyNumberFormat="1" applyFont="1" applyBorder="1" applyAlignment="1" applyProtection="1">
      <alignment horizontal="center"/>
      <protection hidden="1"/>
    </xf>
    <xf numFmtId="164" fontId="58" fillId="0" borderId="12" xfId="0" applyNumberFormat="1" applyFont="1" applyBorder="1" applyAlignment="1" applyProtection="1">
      <alignment horizontal="center"/>
      <protection hidden="1"/>
    </xf>
    <xf numFmtId="0" fontId="141" fillId="14" borderId="0" xfId="1" applyFont="1" applyFill="1" applyAlignment="1" applyProtection="1">
      <alignment horizontal="center"/>
      <protection locked="0"/>
    </xf>
    <xf numFmtId="0" fontId="111" fillId="14" borderId="19" xfId="1" applyFont="1" applyFill="1" applyBorder="1" applyAlignment="1" applyProtection="1">
      <alignment horizontal="center" vertical="center"/>
      <protection locked="0"/>
    </xf>
    <xf numFmtId="0" fontId="111" fillId="14" borderId="0" xfId="1" applyFont="1" applyFill="1" applyBorder="1" applyAlignment="1" applyProtection="1">
      <alignment horizontal="center" vertical="center"/>
      <protection locked="0"/>
    </xf>
    <xf numFmtId="0" fontId="66" fillId="19" borderId="0" xfId="0" applyFont="1" applyFill="1" applyBorder="1" applyAlignment="1" applyProtection="1">
      <alignment horizontal="center"/>
      <protection hidden="1"/>
    </xf>
    <xf numFmtId="164" fontId="124" fillId="0" borderId="6" xfId="0" applyNumberFormat="1" applyFont="1" applyBorder="1" applyAlignment="1" applyProtection="1">
      <alignment horizontal="center"/>
      <protection hidden="1"/>
    </xf>
    <xf numFmtId="164" fontId="124" fillId="0" borderId="7" xfId="0" applyNumberFormat="1" applyFont="1" applyBorder="1" applyAlignment="1" applyProtection="1">
      <alignment horizontal="center"/>
      <protection hidden="1"/>
    </xf>
    <xf numFmtId="164" fontId="37" fillId="0" borderId="0" xfId="0" applyNumberFormat="1" applyFont="1" applyBorder="1" applyAlignment="1" applyProtection="1">
      <alignment horizontal="center"/>
      <protection hidden="1"/>
    </xf>
    <xf numFmtId="0" fontId="140" fillId="18" borderId="0" xfId="0" applyFont="1" applyFill="1" applyBorder="1" applyAlignment="1" applyProtection="1">
      <alignment horizontal="center" vertical="center" wrapText="1"/>
      <protection hidden="1"/>
    </xf>
    <xf numFmtId="0" fontId="140" fillId="18" borderId="12" xfId="0" applyFont="1" applyFill="1" applyBorder="1" applyAlignment="1" applyProtection="1">
      <alignment horizontal="center" vertical="center" wrapText="1"/>
      <protection hidden="1"/>
    </xf>
    <xf numFmtId="164" fontId="37" fillId="0" borderId="20" xfId="0" applyNumberFormat="1" applyFont="1" applyBorder="1" applyAlignment="1" applyProtection="1">
      <alignment horizontal="center"/>
      <protection hidden="1"/>
    </xf>
    <xf numFmtId="164" fontId="37" fillId="0" borderId="1" xfId="0" applyNumberFormat="1" applyFont="1" applyBorder="1" applyAlignment="1" applyProtection="1">
      <alignment horizontal="center"/>
      <protection hidden="1"/>
    </xf>
    <xf numFmtId="164" fontId="37" fillId="0" borderId="4" xfId="0" applyNumberFormat="1" applyFont="1" applyBorder="1" applyAlignment="1" applyProtection="1">
      <alignment horizontal="center"/>
      <protection hidden="1"/>
    </xf>
    <xf numFmtId="0" fontId="57" fillId="0" borderId="52" xfId="1" applyFont="1" applyBorder="1" applyAlignment="1" applyProtection="1">
      <alignment horizontal="center" vertical="center"/>
      <protection locked="0"/>
    </xf>
    <xf numFmtId="0" fontId="57" fillId="0" borderId="53" xfId="1" applyFont="1" applyBorder="1" applyAlignment="1" applyProtection="1">
      <alignment horizontal="center" vertical="center"/>
      <protection locked="0"/>
    </xf>
    <xf numFmtId="0" fontId="57" fillId="0" borderId="54" xfId="1" applyFont="1" applyBorder="1" applyAlignment="1" applyProtection="1">
      <alignment horizontal="center" vertical="center"/>
      <protection locked="0"/>
    </xf>
    <xf numFmtId="0" fontId="21" fillId="21" borderId="24" xfId="0" quotePrefix="1" applyFont="1" applyFill="1" applyBorder="1" applyAlignment="1" applyProtection="1">
      <alignment horizontal="center" vertical="center"/>
      <protection locked="0"/>
    </xf>
    <xf numFmtId="0" fontId="21" fillId="21" borderId="2" xfId="0" quotePrefix="1" applyFont="1" applyFill="1" applyBorder="1" applyAlignment="1" applyProtection="1">
      <alignment horizontal="center" vertical="center"/>
      <protection locked="0"/>
    </xf>
    <xf numFmtId="0" fontId="21" fillId="21" borderId="25" xfId="0" quotePrefix="1" applyFont="1" applyFill="1" applyBorder="1" applyAlignment="1" applyProtection="1">
      <alignment horizontal="center" vertical="center"/>
      <protection locked="0"/>
    </xf>
    <xf numFmtId="0" fontId="16" fillId="21" borderId="20" xfId="1" applyFill="1" applyBorder="1" applyAlignment="1" applyProtection="1">
      <alignment horizontal="center" vertical="center"/>
      <protection locked="0"/>
    </xf>
    <xf numFmtId="0" fontId="16" fillId="21" borderId="1" xfId="1" quotePrefix="1" applyFill="1" applyBorder="1" applyAlignment="1" applyProtection="1">
      <alignment horizontal="center" vertical="center"/>
      <protection locked="0"/>
    </xf>
    <xf numFmtId="0" fontId="16" fillId="21" borderId="4" xfId="1" quotePrefix="1" applyFill="1" applyBorder="1" applyAlignment="1" applyProtection="1">
      <alignment horizontal="center" vertical="center"/>
      <protection locked="0"/>
    </xf>
    <xf numFmtId="0" fontId="24" fillId="0" borderId="6" xfId="0" quotePrefix="1" applyFont="1" applyBorder="1" applyAlignment="1">
      <alignment horizontal="left" vertical="center" indent="2"/>
    </xf>
    <xf numFmtId="0" fontId="24" fillId="0" borderId="3" xfId="0" applyFont="1" applyBorder="1" applyAlignment="1">
      <alignment horizontal="left" vertical="center" indent="2"/>
    </xf>
    <xf numFmtId="0" fontId="24" fillId="0" borderId="7" xfId="0" applyFont="1" applyBorder="1" applyAlignment="1">
      <alignment horizontal="left" vertical="center" indent="2"/>
    </xf>
    <xf numFmtId="0" fontId="21" fillId="21" borderId="6" xfId="0" applyFont="1" applyFill="1" applyBorder="1" applyAlignment="1">
      <alignment horizontal="center"/>
    </xf>
    <xf numFmtId="0" fontId="21" fillId="21" borderId="3" xfId="0" applyFont="1" applyFill="1" applyBorder="1" applyAlignment="1">
      <alignment horizontal="center"/>
    </xf>
    <xf numFmtId="0" fontId="21" fillId="21" borderId="7" xfId="0" applyFont="1" applyFill="1" applyBorder="1" applyAlignment="1">
      <alignment horizontal="center"/>
    </xf>
    <xf numFmtId="0" fontId="57" fillId="0" borderId="52" xfId="1" applyFont="1" applyBorder="1" applyAlignment="1" applyProtection="1">
      <alignment horizontal="center"/>
      <protection locked="0"/>
    </xf>
    <xf numFmtId="0" fontId="57" fillId="0" borderId="53" xfId="1" applyFont="1" applyBorder="1" applyAlignment="1" applyProtection="1">
      <alignment horizontal="center"/>
      <protection locked="0"/>
    </xf>
    <xf numFmtId="0" fontId="57" fillId="0" borderId="54" xfId="1" applyFont="1" applyBorder="1" applyAlignment="1" applyProtection="1">
      <alignment horizontal="center"/>
      <protection locked="0"/>
    </xf>
    <xf numFmtId="0" fontId="0" fillId="0" borderId="19" xfId="0" quotePrefix="1" applyBorder="1" applyAlignment="1">
      <alignment horizontal="left" vertical="center" indent="2"/>
    </xf>
    <xf numFmtId="0" fontId="0" fillId="0" borderId="0" xfId="0" quotePrefix="1" applyBorder="1" applyAlignment="1">
      <alignment horizontal="left" vertical="center" indent="2"/>
    </xf>
    <xf numFmtId="0" fontId="0" fillId="0" borderId="12" xfId="0" quotePrefix="1" applyBorder="1" applyAlignment="1">
      <alignment horizontal="left" vertical="center" indent="2"/>
    </xf>
    <xf numFmtId="0" fontId="16" fillId="0" borderId="20" xfId="1" applyBorder="1" applyAlignment="1" applyProtection="1">
      <alignment horizontal="center" vertical="center"/>
      <protection locked="0"/>
    </xf>
    <xf numFmtId="0" fontId="16" fillId="0" borderId="1" xfId="1" applyBorder="1" applyAlignment="1" applyProtection="1">
      <alignment horizontal="center" vertical="center"/>
      <protection locked="0"/>
    </xf>
    <xf numFmtId="0" fontId="16" fillId="0" borderId="4" xfId="1" applyBorder="1" applyAlignment="1" applyProtection="1">
      <alignment horizontal="center" vertical="center"/>
      <protection locked="0"/>
    </xf>
    <xf numFmtId="9" fontId="0" fillId="0" borderId="24" xfId="0" applyNumberFormat="1" applyBorder="1" applyAlignment="1">
      <alignment horizontal="center" vertical="center"/>
    </xf>
    <xf numFmtId="9" fontId="0" fillId="0" borderId="2" xfId="0" applyNumberFormat="1" applyBorder="1" applyAlignment="1">
      <alignment horizontal="center" vertical="center"/>
    </xf>
    <xf numFmtId="9" fontId="0" fillId="0" borderId="25" xfId="0" applyNumberFormat="1" applyBorder="1" applyAlignment="1">
      <alignment horizontal="center" vertical="center"/>
    </xf>
    <xf numFmtId="0" fontId="0" fillId="0" borderId="6" xfId="0" applyBorder="1" applyAlignment="1">
      <alignment horizontal="left" indent="2"/>
    </xf>
    <xf numFmtId="0" fontId="0" fillId="0" borderId="3" xfId="0" applyBorder="1" applyAlignment="1">
      <alignment horizontal="left" indent="2"/>
    </xf>
    <xf numFmtId="0" fontId="0" fillId="0" borderId="7" xfId="0" applyBorder="1" applyAlignment="1">
      <alignment horizontal="left" indent="2"/>
    </xf>
    <xf numFmtId="9" fontId="0" fillId="0" borderId="26" xfId="0" applyNumberForma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1" fillId="21" borderId="24" xfId="0" quotePrefix="1" applyFont="1" applyFill="1" applyBorder="1" applyAlignment="1">
      <alignment horizontal="center"/>
    </xf>
    <xf numFmtId="0" fontId="21" fillId="21" borderId="2" xfId="0" quotePrefix="1" applyFont="1" applyFill="1" applyBorder="1" applyAlignment="1">
      <alignment horizontal="center"/>
    </xf>
    <xf numFmtId="0" fontId="21" fillId="21" borderId="25" xfId="0" quotePrefix="1" applyFont="1" applyFill="1" applyBorder="1" applyAlignment="1">
      <alignment horizontal="center"/>
    </xf>
    <xf numFmtId="0" fontId="0" fillId="0" borderId="19" xfId="0" quotePrefix="1" applyBorder="1" applyAlignment="1">
      <alignment horizontal="left" indent="2"/>
    </xf>
    <xf numFmtId="0" fontId="0" fillId="0" borderId="0" xfId="0" quotePrefix="1" applyBorder="1" applyAlignment="1">
      <alignment horizontal="left" indent="2"/>
    </xf>
    <xf numFmtId="0" fontId="0" fillId="0" borderId="12" xfId="0" quotePrefix="1" applyBorder="1" applyAlignment="1">
      <alignment horizontal="left" indent="2"/>
    </xf>
    <xf numFmtId="0" fontId="24" fillId="0" borderId="3" xfId="0" applyFont="1" applyBorder="1" applyAlignment="1">
      <alignment horizontal="center"/>
    </xf>
    <xf numFmtId="0" fontId="24" fillId="0" borderId="3" xfId="0" quotePrefix="1" applyFont="1" applyBorder="1" applyAlignment="1">
      <alignment horizontal="center"/>
    </xf>
    <xf numFmtId="9" fontId="8" fillId="0" borderId="26" xfId="0" applyNumberFormat="1" applyFont="1" applyBorder="1" applyAlignment="1">
      <alignment horizontal="center" vertical="center"/>
    </xf>
    <xf numFmtId="9" fontId="8" fillId="0" borderId="28" xfId="0" applyNumberFormat="1" applyFont="1" applyBorder="1" applyAlignment="1">
      <alignment horizontal="center" vertical="center"/>
    </xf>
    <xf numFmtId="0" fontId="21" fillId="21" borderId="24" xfId="1" applyFont="1" applyFill="1" applyBorder="1" applyAlignment="1" applyProtection="1">
      <alignment horizontal="center"/>
      <protection locked="0"/>
    </xf>
    <xf numFmtId="0" fontId="21" fillId="21" borderId="2" xfId="1" quotePrefix="1" applyFont="1" applyFill="1" applyBorder="1" applyAlignment="1" applyProtection="1">
      <alignment horizontal="center"/>
      <protection locked="0"/>
    </xf>
    <xf numFmtId="0" fontId="21" fillId="21" borderId="25" xfId="1" quotePrefix="1" applyFont="1" applyFill="1" applyBorder="1" applyAlignment="1" applyProtection="1">
      <alignment horizontal="center"/>
      <protection locked="0"/>
    </xf>
    <xf numFmtId="0" fontId="0" fillId="0" borderId="0" xfId="0" applyBorder="1" applyAlignment="1">
      <alignment horizontal="left" vertical="center" indent="2"/>
    </xf>
    <xf numFmtId="0" fontId="0" fillId="0" borderId="12" xfId="0" applyBorder="1" applyAlignment="1">
      <alignment horizontal="left" vertical="center" indent="2"/>
    </xf>
  </cellXfs>
  <cellStyles count="3">
    <cellStyle name="Hipervínculo" xfId="1" builtinId="8"/>
    <cellStyle name="Normal" xfId="0" builtinId="0"/>
    <cellStyle name="Normal 2" xfId="2" xr:uid="{00000000-0005-0000-0000-000002000000}"/>
  </cellStyles>
  <dxfs count="444">
    <dxf>
      <fill>
        <patternFill>
          <bgColor rgb="FFFFFF00"/>
        </patternFill>
      </fill>
    </dxf>
    <dxf>
      <fill>
        <patternFill>
          <bgColor rgb="FFFFFF00"/>
        </patternFill>
      </fill>
    </dxf>
    <dxf>
      <font>
        <b/>
        <i val="0"/>
        <color rgb="FF006600"/>
      </font>
    </dxf>
    <dxf>
      <font>
        <b/>
        <i val="0"/>
        <color rgb="FF990000"/>
      </font>
    </dxf>
    <dxf>
      <font>
        <b/>
        <i val="0"/>
        <color rgb="FF990000"/>
      </font>
    </dxf>
    <dxf>
      <font>
        <b/>
        <i val="0"/>
        <color rgb="FF000080"/>
      </font>
    </dxf>
    <dxf>
      <font>
        <b/>
        <i val="0"/>
        <color rgb="FF006600"/>
      </font>
    </dxf>
    <dxf>
      <font>
        <b/>
        <i val="0"/>
        <color rgb="FF000080"/>
      </font>
    </dxf>
    <dxf>
      <font>
        <b/>
        <i val="0"/>
        <color rgb="FF006600"/>
      </font>
    </dxf>
    <dxf>
      <font>
        <b/>
        <i val="0"/>
        <color rgb="FF000080"/>
      </font>
    </dxf>
    <dxf>
      <font>
        <b/>
        <i val="0"/>
        <color rgb="FF006600"/>
      </font>
    </dxf>
    <dxf>
      <font>
        <b/>
        <i val="0"/>
        <color rgb="FF990000"/>
      </font>
    </dxf>
    <dxf>
      <fill>
        <patternFill>
          <bgColor rgb="FFFFFF00"/>
        </patternFill>
      </fill>
    </dxf>
    <dxf>
      <fill>
        <patternFill>
          <bgColor rgb="FFFFFF00"/>
        </patternFill>
      </fill>
    </dxf>
    <dxf>
      <fill>
        <patternFill>
          <bgColor rgb="FFFFFF00"/>
        </patternFill>
      </fill>
    </dxf>
    <dxf>
      <font>
        <b/>
        <i val="0"/>
        <color rgb="FF006600"/>
      </font>
    </dxf>
    <dxf>
      <font>
        <b/>
        <i val="0"/>
        <color rgb="FF000080"/>
      </font>
    </dxf>
    <dxf>
      <font>
        <b/>
        <i val="0"/>
        <color rgb="FFC00000"/>
      </font>
      <fill>
        <patternFill>
          <bgColor rgb="FFFFFF00"/>
        </patternFill>
      </fill>
    </dxf>
    <dxf>
      <fill>
        <patternFill>
          <bgColor rgb="FFFFFF00"/>
        </patternFill>
      </fill>
    </dxf>
    <dxf>
      <font>
        <b/>
        <i val="0"/>
        <color rgb="FF006600"/>
      </font>
    </dxf>
    <dxf>
      <font>
        <b/>
        <i val="0"/>
        <color rgb="FF00008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002060"/>
        </patternFill>
      </fill>
    </dxf>
    <dxf>
      <font>
        <b/>
        <i val="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ont>
        <b val="0"/>
        <i val="0"/>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ont>
        <b/>
        <i val="0"/>
        <color rgb="FFFF0000"/>
      </fon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002060"/>
        </patternFill>
      </fill>
    </dxf>
    <dxf>
      <border>
        <left style="thin">
          <color auto="1"/>
        </left>
        <right style="thin">
          <color auto="1"/>
        </right>
        <top style="thin">
          <color auto="1"/>
        </top>
        <bottom style="thin">
          <color auto="1"/>
        </bottom>
        <vertical/>
        <horizontal/>
      </border>
    </dxf>
    <dxf>
      <fill>
        <patternFill>
          <bgColor theme="0" tint="-0.14996795556505021"/>
        </patternFill>
      </fill>
      <border>
        <left style="hair">
          <color auto="1"/>
        </left>
        <right style="hair">
          <color auto="1"/>
        </right>
        <top style="hair">
          <color auto="1"/>
        </top>
        <bottom style="hair">
          <color auto="1"/>
        </bottom>
        <vertical/>
        <horizontal/>
      </border>
    </dxf>
    <dxf>
      <font>
        <strike/>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strike/>
        <u val="none"/>
      </font>
      <border>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b/>
        <i val="0"/>
        <strike/>
        <color theme="0"/>
      </font>
    </dxf>
    <dxf>
      <font>
        <b/>
        <i val="0"/>
        <strike/>
        <color theme="0"/>
      </font>
      <border>
        <left/>
        <right/>
        <top/>
        <bottom/>
        <vertical/>
        <horizontal/>
      </border>
    </dxf>
    <dxf>
      <font>
        <b/>
        <i val="0"/>
        <strike/>
        <color theme="0"/>
      </font>
    </dxf>
    <dxf>
      <font>
        <strike/>
        <color theme="0"/>
      </font>
      <border>
        <left/>
        <right/>
        <top/>
        <bottom/>
        <vertical/>
        <horizontal/>
      </border>
    </dxf>
    <dxf>
      <font>
        <b/>
        <i val="0"/>
        <strike/>
        <color theme="0"/>
      </font>
    </dxf>
    <dxf>
      <font>
        <b/>
        <i val="0"/>
        <strike/>
        <color theme="0"/>
      </font>
      <border>
        <left/>
        <right/>
        <top/>
        <bottom/>
        <vertical/>
        <horizontal/>
      </border>
    </dxf>
    <dxf>
      <font>
        <b/>
        <i val="0"/>
        <strike/>
        <color theme="0"/>
      </font>
    </dxf>
    <dxf>
      <font>
        <b/>
        <i val="0"/>
        <strike/>
        <color theme="0"/>
      </font>
      <border>
        <left/>
        <right/>
        <top/>
        <bottom/>
        <vertical/>
        <horizontal/>
      </border>
    </dxf>
    <dxf>
      <font>
        <b/>
        <i val="0"/>
        <strike/>
        <color theme="0"/>
      </font>
      <border>
        <left/>
        <right/>
        <top/>
        <bottom/>
        <vertical/>
        <horizontal/>
      </border>
    </dxf>
    <dxf>
      <font>
        <b/>
        <i val="0"/>
        <strike/>
        <color theme="0"/>
      </font>
      <border>
        <left/>
        <right/>
        <top/>
        <bottom/>
        <vertical/>
        <horizontal/>
      </border>
    </dxf>
    <dxf>
      <font>
        <b/>
        <i val="0"/>
        <strike/>
        <color theme="0"/>
      </font>
    </dxf>
    <dxf>
      <font>
        <b/>
        <i val="0"/>
        <strike/>
        <color theme="0"/>
      </font>
      <border>
        <left/>
        <right/>
        <top/>
        <bottom/>
        <vertical/>
        <horizontal/>
      </border>
    </dxf>
    <dxf>
      <font>
        <b/>
        <i val="0"/>
        <strike/>
        <color theme="0"/>
      </font>
      <border>
        <left/>
        <right/>
        <top/>
        <bottom/>
        <vertical/>
        <horizontal/>
      </border>
    </dxf>
    <dxf>
      <font>
        <strike/>
        <color theme="0"/>
      </font>
    </dxf>
    <dxf>
      <font>
        <strike/>
        <color theme="0"/>
      </font>
      <border>
        <left/>
        <right/>
        <top/>
        <bottom/>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000099"/>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000099"/>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000099"/>
      </font>
    </dxf>
    <dxf>
      <font>
        <b/>
        <i val="0"/>
        <color rgb="FFFF0000"/>
      </font>
      <fill>
        <patternFill>
          <bgColor rgb="FFFFFF00"/>
        </patternFill>
      </fill>
    </dxf>
    <dxf>
      <font>
        <b/>
        <i val="0"/>
        <color rgb="FF000099"/>
      </font>
    </dxf>
    <dxf>
      <fill>
        <patternFill>
          <bgColor theme="0" tint="-0.24994659260841701"/>
        </patternFill>
      </fill>
    </dxf>
    <dxf>
      <fill>
        <patternFill>
          <bgColor theme="0" tint="-0.24994659260841701"/>
        </patternFill>
      </fill>
    </dxf>
    <dxf>
      <fill>
        <patternFill>
          <bgColor theme="0" tint="-0.24994659260841701"/>
        </patternFill>
      </fill>
    </dxf>
    <dxf>
      <font>
        <strike/>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ont>
        <b/>
        <i val="0"/>
        <color rgb="FFFF0000"/>
      </font>
      <fill>
        <patternFill>
          <bgColor rgb="FFFFFF00"/>
        </patternFill>
      </fill>
    </dxf>
    <dxf>
      <font>
        <b/>
        <i val="0"/>
        <color rgb="FF000080"/>
      </font>
      <fill>
        <patternFill>
          <bgColor rgb="FFFFFF00"/>
        </patternFill>
      </fill>
    </dxf>
    <dxf>
      <font>
        <b/>
        <i val="0"/>
        <color rgb="FF000080"/>
      </font>
      <fill>
        <patternFill>
          <bgColor rgb="FFFFFF66"/>
        </patternFill>
      </fill>
    </dxf>
    <dxf>
      <font>
        <b/>
        <i val="0"/>
        <color rgb="FFFF0000"/>
      </font>
      <fill>
        <patternFill>
          <bgColor rgb="FFFFFF66"/>
        </patternFill>
      </fill>
    </dxf>
    <dxf>
      <font>
        <b/>
        <i val="0"/>
        <color rgb="FFFF0000"/>
      </font>
      <fill>
        <patternFill>
          <bgColor rgb="FFFFFF66"/>
        </patternFill>
      </fill>
    </dxf>
    <dxf>
      <fill>
        <patternFill>
          <bgColor rgb="FFFFFF66"/>
        </patternFill>
      </fill>
    </dxf>
    <dxf>
      <fill>
        <patternFill>
          <bgColor theme="0" tint="-0.24994659260841701"/>
        </patternFill>
      </fill>
    </dxf>
    <dxf>
      <font>
        <strike/>
        <color theme="0"/>
      </font>
    </dxf>
    <dxf>
      <font>
        <strike/>
        <color theme="0"/>
      </font>
    </dxf>
    <dxf>
      <font>
        <b/>
        <i val="0"/>
        <color rgb="FFFF0000"/>
      </font>
      <fill>
        <patternFill>
          <bgColor rgb="FFFFFF66"/>
        </patternFill>
      </fill>
    </dxf>
    <dxf>
      <font>
        <color rgb="FF000080"/>
      </font>
    </dxf>
    <dxf>
      <font>
        <b/>
        <i val="0"/>
        <color rgb="FFFF0000"/>
      </font>
      <fill>
        <patternFill>
          <bgColor rgb="FFFFFF66"/>
        </patternFill>
      </fill>
    </dxf>
    <dxf>
      <font>
        <b/>
        <i val="0"/>
        <color rgb="FFFF0000"/>
      </font>
      <fill>
        <patternFill>
          <bgColor rgb="FFFFFF66"/>
        </patternFill>
      </fill>
    </dxf>
    <dxf>
      <font>
        <b/>
        <i val="0"/>
        <color rgb="FFFF0000"/>
      </font>
      <fill>
        <patternFill>
          <bgColor rgb="FFFFFF66"/>
        </patternFill>
      </fill>
    </dxf>
    <dxf>
      <font>
        <b/>
        <i val="0"/>
        <color theme="0"/>
      </font>
      <fill>
        <patternFill>
          <bgColor rgb="FF002060"/>
        </patternFill>
      </fill>
    </dxf>
    <dxf>
      <border>
        <left style="thin">
          <color auto="1"/>
        </left>
        <right style="thin">
          <color auto="1"/>
        </right>
        <top style="thin">
          <color auto="1"/>
        </top>
        <bottom style="thin">
          <color auto="1"/>
        </bottom>
        <vertical/>
        <horizontal/>
      </border>
    </dxf>
    <dxf>
      <fill>
        <patternFill>
          <bgColor theme="0" tint="-0.14996795556505021"/>
        </patternFill>
      </fill>
      <border>
        <left style="hair">
          <color auto="1"/>
        </left>
        <right style="hair">
          <color auto="1"/>
        </right>
        <top style="hair">
          <color auto="1"/>
        </top>
        <bottom style="hair">
          <color auto="1"/>
        </bottom>
        <vertical/>
        <horizontal/>
      </border>
    </dxf>
    <dxf>
      <font>
        <strike/>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strike/>
        <u val="none"/>
      </font>
      <border>
        <left/>
        <right/>
        <top/>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b/>
        <i val="0"/>
        <strike/>
        <color theme="0"/>
      </font>
    </dxf>
    <dxf>
      <font>
        <b/>
        <i val="0"/>
        <strike/>
        <color theme="0"/>
      </font>
    </dxf>
    <dxf>
      <font>
        <b/>
        <i val="0"/>
        <strike/>
        <color theme="0"/>
      </font>
    </dxf>
    <dxf>
      <font>
        <b/>
        <i val="0"/>
        <strike/>
        <color theme="0"/>
      </font>
    </dxf>
    <dxf>
      <font>
        <b/>
        <i val="0"/>
        <strike/>
        <color theme="0"/>
      </font>
      <border>
        <left/>
        <right/>
        <top/>
        <bottom/>
        <vertical/>
        <horizontal/>
      </border>
    </dxf>
    <dxf>
      <font>
        <b/>
        <i val="0"/>
        <strike/>
        <color theme="0"/>
      </font>
    </dxf>
    <dxf>
      <font>
        <strike/>
        <color theme="0"/>
      </font>
      <border>
        <left/>
        <right/>
        <top/>
        <bottom/>
        <vertical/>
        <horizontal/>
      </border>
    </dxf>
    <dxf>
      <font>
        <b/>
        <i val="0"/>
        <strike/>
        <color theme="0"/>
      </font>
    </dxf>
    <dxf>
      <font>
        <b/>
        <i val="0"/>
        <strike/>
        <color theme="0"/>
      </font>
      <border>
        <left/>
        <right/>
        <top/>
        <bottom/>
        <vertical/>
        <horizontal/>
      </border>
    </dxf>
    <dxf>
      <font>
        <b/>
        <i val="0"/>
        <strike/>
        <color theme="0"/>
      </font>
    </dxf>
    <dxf>
      <font>
        <b/>
        <i val="0"/>
        <strike/>
        <color theme="0"/>
      </font>
      <border>
        <left/>
        <right/>
        <top/>
        <bottom/>
        <vertical/>
        <horizontal/>
      </border>
    </dxf>
    <dxf>
      <font>
        <b/>
        <i val="0"/>
        <strike/>
        <color theme="0"/>
      </font>
      <border>
        <left/>
        <right/>
        <top/>
        <bottom/>
        <vertical/>
        <horizontal/>
      </border>
    </dxf>
    <dxf>
      <font>
        <b/>
        <i val="0"/>
        <strike/>
        <color theme="0"/>
      </font>
      <border>
        <left/>
        <right/>
        <top/>
        <bottom/>
        <vertical/>
        <horizontal/>
      </border>
    </dxf>
    <dxf>
      <font>
        <b/>
        <i val="0"/>
        <strike/>
        <color theme="0"/>
      </font>
    </dxf>
    <dxf>
      <font>
        <b/>
        <i val="0"/>
        <strike/>
        <color theme="0"/>
      </font>
      <border>
        <left/>
        <right/>
        <top/>
        <bottom/>
        <vertical/>
        <horizontal/>
      </border>
    </dxf>
    <dxf>
      <font>
        <b/>
        <i val="0"/>
        <strike/>
        <color theme="0"/>
      </font>
      <border>
        <left/>
        <right/>
        <top/>
        <bottom/>
        <vertical/>
        <horizontal/>
      </border>
    </dxf>
    <dxf>
      <font>
        <strike/>
        <color theme="0"/>
      </font>
    </dxf>
    <dxf>
      <font>
        <strike/>
        <color theme="0"/>
      </font>
      <border>
        <left/>
        <right/>
        <top/>
        <bottom/>
      </border>
    </dxf>
    <dxf>
      <font>
        <b/>
        <i val="0"/>
        <color theme="0"/>
      </font>
      <fill>
        <patternFill>
          <bgColor rgb="FF0000CC"/>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000099"/>
      </font>
    </dxf>
    <dxf>
      <border>
        <bottom style="hair">
          <color auto="1"/>
        </bottom>
        <vertical/>
        <horizontal/>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font>
        <b/>
        <i val="0"/>
        <color rgb="FF000099"/>
      </font>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border>
        <bottom style="hair">
          <color auto="1"/>
        </bottom>
        <vertical/>
        <horizontal/>
      </border>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fill>
        <patternFill>
          <bgColor theme="0" tint="-0.24994659260841701"/>
        </patternFill>
      </fill>
    </dxf>
    <dxf>
      <font>
        <b/>
        <i val="0"/>
        <color rgb="FFFF0000"/>
      </font>
      <fill>
        <patternFill>
          <bgColor rgb="FFFFFF00"/>
        </patternFill>
      </fill>
    </dxf>
    <dxf>
      <font>
        <b/>
        <i val="0"/>
        <color rgb="FF000099"/>
      </font>
    </dxf>
    <dxf>
      <fill>
        <patternFill>
          <bgColor theme="0" tint="-0.24994659260841701"/>
        </patternFill>
      </fill>
    </dxf>
    <dxf>
      <border>
        <bottom style="hair">
          <color auto="1"/>
        </bottom>
        <vertical/>
        <horizontal/>
      </border>
    </dxf>
    <dxf>
      <font>
        <b/>
        <i val="0"/>
        <color rgb="FFFF0000"/>
      </font>
      <fill>
        <patternFill>
          <bgColor rgb="FFFFFF00"/>
        </patternFill>
      </fill>
    </dxf>
    <dxf>
      <font>
        <b/>
        <i val="0"/>
        <color rgb="FF000099"/>
      </font>
    </dxf>
    <dxf>
      <fill>
        <patternFill>
          <bgColor theme="0" tint="-0.24994659260841701"/>
        </patternFill>
      </fill>
    </dxf>
    <dxf>
      <border>
        <bottom style="thin">
          <color auto="1"/>
        </bottom>
        <vertical/>
        <horizontal/>
      </border>
    </dxf>
    <dxf>
      <border>
        <bottom style="hair">
          <color auto="1"/>
        </bottom>
        <vertical/>
        <horizontal/>
      </border>
    </dxf>
    <dxf>
      <fill>
        <patternFill>
          <bgColor theme="0" tint="-0.24994659260841701"/>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ont>
        <strike/>
        <color theme="0"/>
      </font>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000099"/>
        </patternFill>
      </fill>
    </dxf>
    <dxf>
      <font>
        <b/>
        <i val="0"/>
        <color theme="0"/>
      </font>
      <fill>
        <patternFill>
          <bgColor rgb="FF0000CC"/>
        </patternFill>
      </fill>
      <border>
        <left style="thin">
          <color rgb="FF000099"/>
        </left>
        <right style="thin">
          <color rgb="FF000099"/>
        </right>
        <top style="thin">
          <color rgb="FF000099"/>
        </top>
        <bottom style="thin">
          <color rgb="FF000099"/>
        </bottom>
      </border>
    </dxf>
    <dxf>
      <font>
        <b/>
        <i val="0"/>
        <color rgb="FF000099"/>
      </font>
      <fill>
        <patternFill>
          <bgColor rgb="FFFFFF00"/>
        </patternFill>
      </fill>
    </dxf>
    <dxf>
      <font>
        <b/>
        <i val="0"/>
        <color rgb="FF000099"/>
      </font>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ont>
        <b/>
        <i val="0"/>
        <color rgb="FFFF0000"/>
      </font>
      <fill>
        <patternFill>
          <bgColor rgb="FFFFFF00"/>
        </patternFill>
      </fill>
    </dxf>
    <dxf>
      <border>
        <bottom style="hair">
          <color auto="1"/>
        </bottom>
        <vertical/>
        <horizontal/>
      </border>
    </dxf>
    <dxf>
      <font>
        <b/>
        <i val="0"/>
        <color rgb="FF000080"/>
      </font>
      <fill>
        <patternFill>
          <bgColor rgb="FFFFFF00"/>
        </patternFill>
      </fill>
    </dxf>
    <dxf>
      <font>
        <b/>
        <i val="0"/>
        <color rgb="FF000080"/>
      </font>
      <fill>
        <patternFill>
          <bgColor rgb="FFFFFF66"/>
        </patternFill>
      </fill>
    </dxf>
    <dxf>
      <font>
        <b/>
        <i val="0"/>
        <color rgb="FFFF0000"/>
      </font>
      <fill>
        <patternFill>
          <bgColor rgb="FFFFFF66"/>
        </patternFill>
      </fill>
    </dxf>
    <dxf>
      <font>
        <b/>
        <i val="0"/>
        <color rgb="FF000080"/>
      </font>
      <fill>
        <patternFill>
          <bgColor rgb="FFFFFF00"/>
        </patternFill>
      </fill>
    </dxf>
    <dxf>
      <font>
        <b/>
        <i val="0"/>
        <color rgb="FFFF0000"/>
      </font>
      <fill>
        <patternFill>
          <bgColor rgb="FFFFFF66"/>
        </patternFill>
      </fill>
    </dxf>
    <dxf>
      <fill>
        <patternFill>
          <bgColor rgb="FFFFFF66"/>
        </patternFill>
      </fill>
    </dxf>
    <dxf>
      <font>
        <b/>
        <i val="0"/>
        <color rgb="FFFF0000"/>
      </font>
      <fill>
        <patternFill>
          <bgColor theme="0" tint="-0.24994659260841701"/>
        </patternFill>
      </fill>
    </dxf>
    <dxf>
      <font>
        <b/>
        <i val="0"/>
        <color rgb="FFFF0000"/>
      </font>
      <fill>
        <patternFill>
          <bgColor theme="0" tint="-0.24994659260841701"/>
        </patternFill>
      </fill>
    </dxf>
    <dxf>
      <font>
        <b/>
        <i val="0"/>
        <color rgb="FFFF0000"/>
      </font>
      <fill>
        <patternFill>
          <bgColor theme="0" tint="-0.24994659260841701"/>
        </patternFill>
      </fill>
    </dxf>
    <dxf>
      <fill>
        <patternFill>
          <bgColor theme="0" tint="-0.24994659260841701"/>
        </patternFill>
      </fill>
    </dxf>
    <dxf>
      <fill>
        <patternFill>
          <bgColor theme="0" tint="-0.14996795556505021"/>
        </patternFill>
      </fill>
    </dxf>
    <dxf>
      <font>
        <b/>
        <i val="0"/>
        <color rgb="FFFF0000"/>
      </font>
    </dxf>
    <dxf>
      <font>
        <b/>
        <i val="0"/>
        <color rgb="FFFF0000"/>
      </font>
      <fill>
        <patternFill>
          <bgColor theme="0" tint="-0.14996795556505021"/>
        </patternFill>
      </fill>
    </dxf>
    <dxf>
      <font>
        <strike/>
        <color theme="0"/>
      </font>
    </dxf>
    <dxf>
      <font>
        <strike/>
        <color theme="0"/>
      </font>
    </dxf>
    <dxf>
      <font>
        <b/>
        <i val="0"/>
        <color rgb="FFFF0000"/>
      </font>
      <fill>
        <patternFill>
          <bgColor rgb="FFFFFF66"/>
        </patternFill>
      </fill>
    </dxf>
    <dxf>
      <font>
        <color rgb="FF000080"/>
      </font>
    </dxf>
    <dxf>
      <font>
        <color theme="0"/>
      </font>
    </dxf>
    <dxf>
      <font>
        <color theme="0"/>
      </font>
    </dxf>
    <dxf>
      <font>
        <color theme="0"/>
      </font>
    </dxf>
    <dxf>
      <font>
        <color theme="0"/>
      </font>
    </dxf>
    <dxf>
      <font>
        <b/>
        <i val="0"/>
        <color rgb="FFFF0000"/>
      </font>
      <fill>
        <patternFill>
          <bgColor rgb="FFFFFF66"/>
        </patternFill>
      </fill>
    </dxf>
    <dxf>
      <font>
        <color theme="0"/>
      </font>
    </dxf>
    <dxf>
      <font>
        <color theme="0"/>
      </font>
    </dxf>
    <dxf>
      <font>
        <b/>
        <i val="0"/>
        <color rgb="FFFF0000"/>
      </font>
      <fill>
        <patternFill>
          <bgColor rgb="FFFFFF66"/>
        </patternFill>
      </fill>
    </dxf>
    <dxf>
      <font>
        <color theme="0"/>
      </font>
    </dxf>
    <dxf>
      <font>
        <color theme="0"/>
      </font>
    </dxf>
    <dxf>
      <font>
        <b/>
        <i val="0"/>
        <color rgb="FFFF0000"/>
      </font>
      <fill>
        <patternFill>
          <bgColor rgb="FFFFFF66"/>
        </patternFill>
      </fill>
    </dxf>
    <dxf>
      <font>
        <color theme="0"/>
      </font>
    </dxf>
    <dxf>
      <fill>
        <patternFill>
          <bgColor rgb="FFFFFF00"/>
        </patternFill>
      </fill>
    </dxf>
    <dxf>
      <border>
        <bottom style="thin">
          <color auto="1"/>
        </bottom>
        <vertical/>
        <horizontal/>
      </border>
    </dxf>
    <dxf>
      <border>
        <bottom style="thin">
          <color auto="1"/>
        </bottom>
        <vertical/>
        <horizontal/>
      </border>
    </dxf>
    <dxf>
      <fill>
        <patternFill>
          <bgColor rgb="FF92D050"/>
        </patternFill>
      </fill>
    </dxf>
    <dxf>
      <fill>
        <patternFill>
          <bgColor rgb="FF92D050"/>
        </patternFill>
      </fill>
    </dxf>
    <dxf>
      <fill>
        <patternFill>
          <bgColor rgb="FF92D050"/>
        </patternFill>
      </fill>
    </dxf>
    <dxf>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ont>
        <b/>
        <i val="0"/>
        <color auto="1"/>
      </font>
      <fill>
        <patternFill>
          <bgColor rgb="FF92D050"/>
        </patternFill>
      </fill>
    </dxf>
    <dxf>
      <font>
        <b/>
        <i val="0"/>
        <color auto="1"/>
      </font>
      <fill>
        <patternFill>
          <bgColor rgb="FF92D050"/>
        </patternFill>
      </fill>
    </dxf>
    <dxf>
      <fill>
        <patternFill>
          <bgColor rgb="FF92D050"/>
        </patternFill>
      </fill>
    </dxf>
    <dxf>
      <font>
        <b/>
        <i val="0"/>
        <color auto="1"/>
      </font>
      <fill>
        <patternFill>
          <bgColor rgb="FF92D050"/>
        </patternFill>
      </fill>
    </dxf>
    <dxf>
      <fill>
        <patternFill>
          <bgColor rgb="FF92D050"/>
        </patternFill>
      </fill>
    </dxf>
    <dxf>
      <font>
        <b/>
        <i val="0"/>
        <color auto="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b/>
        <i val="0"/>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strike/>
      </font>
    </dxf>
    <dxf>
      <font>
        <strike/>
      </font>
      <fill>
        <patternFill patternType="none">
          <bgColor auto="1"/>
        </patternFill>
      </fill>
      <border>
        <left/>
        <right/>
        <top/>
        <bottom/>
        <vertical/>
        <horizontal/>
      </border>
    </dxf>
    <dxf>
      <fill>
        <patternFill>
          <bgColor theme="0" tint="-0.14996795556505021"/>
        </patternFill>
      </fill>
    </dxf>
    <dxf>
      <font>
        <strike/>
        <color theme="0"/>
      </font>
      <border>
        <left/>
        <right/>
        <top/>
        <bottom/>
      </border>
    </dxf>
    <dxf>
      <font>
        <strike/>
      </font>
    </dxf>
    <dxf>
      <font>
        <strike/>
        <color theme="0"/>
      </font>
    </dxf>
    <dxf>
      <font>
        <strike/>
        <color theme="0"/>
      </font>
      <border>
        <left/>
        <right/>
        <top/>
        <bottom/>
      </border>
    </dxf>
    <dxf>
      <font>
        <strike/>
      </font>
    </dxf>
    <dxf>
      <font>
        <strike/>
        <color theme="0"/>
      </font>
    </dxf>
    <dxf>
      <font>
        <strike/>
        <color theme="0"/>
      </font>
      <border>
        <left/>
        <right/>
        <top/>
        <bottom/>
      </border>
    </dxf>
    <dxf>
      <font>
        <strike/>
      </font>
    </dxf>
    <dxf>
      <font>
        <strike/>
        <color theme="0"/>
      </font>
    </dxf>
    <dxf>
      <font>
        <strike/>
        <color theme="0"/>
      </font>
      <border>
        <left/>
        <right/>
        <top/>
        <bottom/>
      </border>
    </dxf>
    <dxf>
      <font>
        <strike/>
      </font>
    </dxf>
    <dxf>
      <font>
        <strike/>
        <color theme="0"/>
      </font>
      <border>
        <left/>
        <right/>
        <top/>
        <bottom/>
      </border>
    </dxf>
    <dxf>
      <font>
        <strike/>
      </font>
    </dxf>
    <dxf>
      <font>
        <strike/>
        <color theme="0"/>
      </font>
      <border>
        <left/>
        <right/>
        <top/>
        <bottom/>
      </border>
    </dxf>
    <dxf>
      <font>
        <strike/>
      </font>
    </dxf>
    <dxf>
      <font>
        <strike/>
        <color theme="0"/>
      </font>
    </dxf>
    <dxf>
      <font>
        <strike/>
        <color theme="0"/>
      </font>
      <border>
        <left/>
        <right/>
        <top/>
        <bottom/>
      </border>
    </dxf>
    <dxf>
      <font>
        <strike/>
      </font>
    </dxf>
    <dxf>
      <font>
        <strike/>
        <color theme="0"/>
      </font>
      <border>
        <left/>
        <right/>
        <top/>
        <bottom/>
      </border>
    </dxf>
    <dxf>
      <font>
        <strike/>
      </font>
    </dxf>
    <dxf>
      <font>
        <strike/>
        <color theme="0"/>
      </font>
      <border>
        <left/>
        <right/>
        <top/>
        <bottom/>
      </border>
    </dxf>
    <dxf>
      <font>
        <strike/>
      </font>
    </dxf>
    <dxf>
      <font>
        <b/>
        <i val="0"/>
        <color rgb="FFFF0000"/>
      </font>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000099"/>
      </font>
    </dxf>
    <dxf>
      <font>
        <b/>
        <i val="0"/>
        <color rgb="FFFF0000"/>
      </font>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color rgb="FFFF0000"/>
      </font>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border>
        <bottom style="hair">
          <color auto="1"/>
        </bottom>
        <vertical/>
        <horizontal/>
      </border>
    </dxf>
    <dxf>
      <font>
        <b/>
        <i val="0"/>
        <color rgb="FF000099"/>
      </font>
      <fill>
        <patternFill>
          <bgColor rgb="FFFFFF00"/>
        </patternFill>
      </fill>
    </dxf>
    <dxf>
      <font>
        <b/>
        <i val="0"/>
        <color rgb="FF000099"/>
      </font>
      <fill>
        <patternFill>
          <bgColor rgb="FFFFFF00"/>
        </patternFill>
      </fill>
    </dxf>
    <dxf>
      <font>
        <b/>
        <i val="0"/>
        <strike val="0"/>
      </font>
      <fill>
        <patternFill>
          <bgColor theme="0" tint="-0.14996795556505021"/>
        </patternFill>
      </fill>
    </dxf>
    <dxf>
      <font>
        <strike val="0"/>
      </font>
      <numFmt numFmtId="172" formatCode="0.E+00"/>
      <fill>
        <patternFill>
          <bgColor theme="0" tint="-0.14996795556505021"/>
        </patternFill>
      </fill>
    </dxf>
    <dxf>
      <font>
        <strike val="0"/>
      </font>
      <numFmt numFmtId="172" formatCode="0.E+00"/>
      <fill>
        <patternFill>
          <bgColor theme="0" tint="-0.14996795556505021"/>
        </patternFill>
      </fill>
    </dxf>
    <dxf>
      <font>
        <b/>
        <i val="0"/>
        <strike val="0"/>
      </font>
      <fill>
        <patternFill>
          <bgColor theme="0" tint="-0.14996795556505021"/>
        </patternFill>
      </fill>
    </dxf>
    <dxf>
      <font>
        <strike val="0"/>
      </font>
      <numFmt numFmtId="172" formatCode="0.E+00"/>
      <fill>
        <patternFill>
          <bgColor theme="0" tint="-0.14996795556505021"/>
        </patternFill>
      </fill>
    </dxf>
    <dxf>
      <font>
        <strike val="0"/>
      </font>
      <numFmt numFmtId="172" formatCode="0.E+00"/>
      <fill>
        <patternFill>
          <bgColor theme="0" tint="-0.14996795556505021"/>
        </patternFill>
      </fill>
    </dxf>
    <dxf>
      <fill>
        <patternFill>
          <bgColor rgb="FFFFFF66"/>
        </patternFill>
      </fill>
    </dxf>
    <dxf>
      <fill>
        <patternFill patternType="none">
          <bgColor auto="1"/>
        </patternFill>
      </fill>
    </dxf>
    <dxf>
      <fill>
        <patternFill>
          <bgColor theme="0" tint="-0.14996795556505021"/>
        </patternFill>
      </fill>
    </dxf>
    <dxf>
      <font>
        <b/>
        <i val="0"/>
        <color rgb="FFFF0000"/>
      </font>
    </dxf>
    <dxf>
      <font>
        <b/>
        <i val="0"/>
        <color rgb="FFFF0000"/>
      </font>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206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border>
    </dxf>
    <dxf>
      <font>
        <strike/>
      </font>
    </dxf>
    <dxf>
      <font>
        <strike/>
      </font>
      <fill>
        <patternFill patternType="none">
          <bgColor auto="1"/>
        </patternFill>
      </fill>
      <border>
        <left/>
        <right/>
        <top/>
        <bottom/>
        <vertical/>
        <horizontal/>
      </border>
    </dxf>
    <dxf>
      <fill>
        <patternFill>
          <bgColor theme="0" tint="-0.14996795556505021"/>
        </patternFill>
      </fill>
    </dxf>
    <dxf>
      <font>
        <strike/>
        <color theme="0"/>
      </font>
      <border>
        <left/>
        <right/>
        <top/>
        <bottom/>
      </border>
    </dxf>
    <dxf>
      <font>
        <strike/>
        <color theme="0"/>
      </font>
    </dxf>
    <dxf>
      <font>
        <strike/>
        <color theme="0"/>
      </font>
      <border>
        <left/>
        <right/>
        <top/>
        <bottom/>
      </border>
    </dxf>
    <dxf>
      <font>
        <strike/>
        <color theme="0"/>
      </font>
    </dxf>
    <dxf>
      <font>
        <strike/>
        <color theme="0"/>
      </font>
      <border>
        <left/>
        <right/>
        <top/>
        <bottom/>
      </border>
    </dxf>
    <dxf>
      <font>
        <strike/>
        <color theme="0"/>
      </font>
    </dxf>
    <dxf>
      <font>
        <strike/>
        <color theme="0"/>
      </font>
      <border>
        <left/>
        <right/>
        <top/>
        <bottom/>
      </border>
    </dxf>
    <dxf>
      <font>
        <strike/>
        <color theme="0"/>
      </font>
      <border>
        <left/>
        <right/>
        <top/>
        <bottom/>
      </border>
    </dxf>
    <dxf>
      <font>
        <strike/>
        <color theme="0"/>
      </font>
      <border>
        <left/>
        <right/>
        <top/>
        <bottom/>
      </border>
    </dxf>
    <dxf>
      <font>
        <strike/>
        <color theme="0"/>
      </font>
    </dxf>
    <dxf>
      <font>
        <strike/>
        <color theme="0"/>
      </font>
    </dxf>
    <dxf>
      <font>
        <strike/>
        <color theme="0"/>
      </font>
      <border>
        <left/>
        <right/>
        <top/>
        <bottom/>
      </border>
    </dxf>
    <dxf>
      <font>
        <strike/>
        <color theme="0"/>
      </font>
      <border>
        <left/>
        <right/>
        <top/>
        <bottom/>
      </border>
    </dxf>
    <dxf>
      <font>
        <strike/>
        <color theme="0"/>
      </font>
      <border>
        <left/>
        <right/>
        <top/>
        <bottom/>
      </border>
    </dxf>
    <dxf>
      <font>
        <b/>
        <i val="0"/>
        <color theme="0"/>
      </font>
      <fill>
        <patternFill>
          <bgColor rgb="FF0000CC"/>
        </patternFill>
      </fill>
    </dxf>
    <dxf>
      <font>
        <b/>
        <i val="0"/>
        <color rgb="FFFF0000"/>
      </font>
      <fill>
        <patternFill>
          <bgColor rgb="FFFFFF00"/>
        </patternFill>
      </fill>
    </dxf>
    <dxf>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tint="-0.14996795556505021"/>
        </patternFill>
      </fill>
    </dxf>
    <dxf>
      <font>
        <b/>
        <i val="0"/>
        <color rgb="FFFF0000"/>
      </font>
      <fill>
        <patternFill>
          <bgColor rgb="FFFFFF00"/>
        </patternFill>
      </fill>
    </dxf>
    <dxf>
      <font>
        <b/>
        <i val="0"/>
        <color rgb="FF000099"/>
      </font>
    </dxf>
    <dxf>
      <font>
        <b/>
        <i val="0"/>
        <color rgb="FFFF0000"/>
      </font>
      <fill>
        <patternFill>
          <bgColor rgb="FFFFFF00"/>
        </patternFill>
      </fill>
    </dxf>
    <dxf>
      <fill>
        <patternFill>
          <bgColor rgb="FFFFFF00"/>
        </patternFill>
      </fill>
    </dxf>
    <dxf>
      <fill>
        <patternFill>
          <bgColor rgb="FFFFFF00"/>
        </patternFill>
      </fill>
    </dxf>
    <dxf>
      <font>
        <b/>
        <i val="0"/>
        <color rgb="FF000080"/>
      </font>
    </dxf>
    <dxf>
      <fill>
        <patternFill>
          <bgColor rgb="FFFFFF00"/>
        </patternFill>
      </fill>
    </dxf>
    <dxf>
      <border>
        <bottom style="hair">
          <color auto="1"/>
        </bottom>
        <vertical/>
        <horizontal/>
      </border>
    </dxf>
    <dxf>
      <border>
        <bottom style="hair">
          <color auto="1"/>
        </bottom>
        <vertical/>
        <horizontal/>
      </border>
    </dxf>
    <dxf>
      <border>
        <bottom style="thin">
          <color auto="1"/>
        </bottom>
        <vertical/>
        <horizontal/>
      </border>
    </dxf>
    <dxf>
      <fill>
        <patternFill>
          <bgColor theme="0" tint="-0.14996795556505021"/>
        </patternFill>
      </fill>
    </dxf>
    <dxf>
      <font>
        <b/>
        <i val="0"/>
        <color rgb="FFFF0000"/>
      </font>
      <fill>
        <patternFill>
          <bgColor rgb="FFFFFF00"/>
        </patternFill>
      </fill>
    </dxf>
    <dxf>
      <font>
        <b/>
        <i val="0"/>
        <color theme="0"/>
      </font>
      <fill>
        <patternFill>
          <bgColor rgb="FF000099"/>
        </patternFill>
      </fill>
    </dxf>
    <dxf>
      <fill>
        <patternFill>
          <bgColor theme="0" tint="-0.14996795556505021"/>
        </patternFill>
      </fill>
    </dxf>
    <dxf>
      <font>
        <b/>
        <i val="0"/>
        <color rgb="FFC00000"/>
      </font>
      <fill>
        <patternFill>
          <bgColor rgb="FFFFFF00"/>
        </patternFill>
      </fill>
    </dxf>
    <dxf>
      <font>
        <b/>
        <i val="0"/>
        <color rgb="FF000099"/>
      </font>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color rgb="FF000099"/>
      </font>
      <fill>
        <patternFill>
          <bgColor rgb="FFFFFF00"/>
        </patternFill>
      </fill>
    </dxf>
    <dxf>
      <font>
        <b/>
        <i val="0"/>
        <color rgb="FFFF0000"/>
      </font>
      <fill>
        <patternFill>
          <bgColor rgb="FFFFFF00"/>
        </patternFill>
      </fill>
    </dxf>
    <dxf>
      <border>
        <bottom style="hair">
          <color auto="1"/>
        </bottom>
        <vertical/>
        <horizontal/>
      </border>
    </dxf>
    <dxf>
      <font>
        <b/>
        <i val="0"/>
        <color rgb="FF000099"/>
      </font>
      <fill>
        <patternFill>
          <bgColor rgb="FFFFFF00"/>
        </patternFill>
      </fill>
    </dxf>
    <dxf>
      <font>
        <b/>
        <i val="0"/>
        <color rgb="FF000099"/>
      </font>
      <fill>
        <patternFill>
          <bgColor rgb="FFFFFF00"/>
        </patternFill>
      </fill>
    </dxf>
    <dxf>
      <font>
        <b/>
        <i val="0"/>
        <strike val="0"/>
      </font>
      <fill>
        <patternFill>
          <bgColor theme="0" tint="-0.14996795556505021"/>
        </patternFill>
      </fill>
    </dxf>
    <dxf>
      <font>
        <strike val="0"/>
      </font>
      <numFmt numFmtId="172" formatCode="0.E+00"/>
      <fill>
        <patternFill>
          <bgColor theme="0" tint="-0.14996795556505021"/>
        </patternFill>
      </fill>
    </dxf>
    <dxf>
      <font>
        <strike val="0"/>
      </font>
      <numFmt numFmtId="172" formatCode="0.E+00"/>
      <fill>
        <patternFill>
          <bgColor theme="0" tint="-0.14996795556505021"/>
        </patternFill>
      </fill>
    </dxf>
    <dxf>
      <font>
        <b/>
        <i val="0"/>
        <strike val="0"/>
      </font>
      <fill>
        <patternFill>
          <bgColor theme="0" tint="-0.14996795556505021"/>
        </patternFill>
      </fill>
    </dxf>
    <dxf>
      <font>
        <strike val="0"/>
      </font>
      <numFmt numFmtId="172" formatCode="0.E+00"/>
      <fill>
        <patternFill>
          <bgColor theme="0" tint="-0.14996795556505021"/>
        </patternFill>
      </fill>
    </dxf>
    <dxf>
      <font>
        <strike val="0"/>
      </font>
      <numFmt numFmtId="172" formatCode="0.E+00"/>
      <fill>
        <patternFill>
          <bgColor theme="0" tint="-0.14996795556505021"/>
        </patternFill>
      </fill>
    </dxf>
    <dxf>
      <fill>
        <patternFill>
          <bgColor rgb="FFFFFF66"/>
        </patternFill>
      </fill>
    </dxf>
    <dxf>
      <fill>
        <patternFill patternType="none">
          <bgColor auto="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ill>
        <patternFill>
          <bgColor theme="0" tint="-0.14996795556505021"/>
        </patternFill>
      </fill>
    </dxf>
    <dxf>
      <font>
        <b/>
        <i val="0"/>
        <color rgb="FFFF0000"/>
      </font>
    </dxf>
    <dxf>
      <font>
        <b/>
        <i val="0"/>
        <color rgb="FFFF0000"/>
      </font>
      <fill>
        <patternFill>
          <bgColor rgb="FFFFFF00"/>
        </patternFill>
      </fill>
    </dxf>
  </dxfs>
  <tableStyles count="0" defaultTableStyle="TableStyleMedium9" defaultPivotStyle="PivotStyleLight16"/>
  <colors>
    <mruColors>
      <color rgb="FF990000"/>
      <color rgb="FF000080"/>
      <color rgb="FF006600"/>
      <color rgb="FF000099"/>
      <color rgb="FFF1F5E7"/>
      <color rgb="FFF5F1EB"/>
      <color rgb="FFFFFFFF"/>
      <color rgb="FFFFFFCC"/>
      <color rgb="FFA50021"/>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2.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6</xdr:col>
      <xdr:colOff>188926</xdr:colOff>
      <xdr:row>34</xdr:row>
      <xdr:rowOff>37786</xdr:rowOff>
    </xdr:from>
    <xdr:to>
      <xdr:col>7</xdr:col>
      <xdr:colOff>337680</xdr:colOff>
      <xdr:row>36</xdr:row>
      <xdr:rowOff>139209</xdr:rowOff>
    </xdr:to>
    <xdr:pic>
      <xdr:nvPicPr>
        <xdr:cNvPr id="3" name="Imagen 1" descr="Descripción: http://helpmerick.com/wp-content/uploads/2006/08/Control-F.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6952" y="6151419"/>
          <a:ext cx="934685" cy="433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485775</xdr:colOff>
      <xdr:row>0</xdr:row>
      <xdr:rowOff>38100</xdr:rowOff>
    </xdr:from>
    <xdr:to>
      <xdr:col>1</xdr:col>
      <xdr:colOff>1552575</xdr:colOff>
      <xdr:row>5</xdr:row>
      <xdr:rowOff>114300</xdr:rowOff>
    </xdr:to>
    <xdr:pic>
      <xdr:nvPicPr>
        <xdr:cNvPr id="2448" name="Picture 2" descr="001logo de borrero">
          <a:extLst>
            <a:ext uri="{FF2B5EF4-FFF2-40B4-BE49-F238E27FC236}">
              <a16:creationId xmlns:a16="http://schemas.microsoft.com/office/drawing/2014/main" id="{00000000-0008-0000-0100-00009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38100"/>
          <a:ext cx="10668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95</xdr:col>
      <xdr:colOff>763259</xdr:colOff>
      <xdr:row>0</xdr:row>
      <xdr:rowOff>52899</xdr:rowOff>
    </xdr:from>
    <xdr:to>
      <xdr:col>95</xdr:col>
      <xdr:colOff>1830059</xdr:colOff>
      <xdr:row>5</xdr:row>
      <xdr:rowOff>129099</xdr:rowOff>
    </xdr:to>
    <xdr:pic>
      <xdr:nvPicPr>
        <xdr:cNvPr id="3" name="Picture 2" descr="001logo de borrer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55927" y="52899"/>
          <a:ext cx="1066800" cy="907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xdr:row>
      <xdr:rowOff>0</xdr:rowOff>
    </xdr:from>
    <xdr:to>
      <xdr:col>10</xdr:col>
      <xdr:colOff>305866</xdr:colOff>
      <xdr:row>26</xdr:row>
      <xdr:rowOff>1002</xdr:rowOff>
    </xdr:to>
    <xdr:sp macro="" textlink="">
      <xdr:nvSpPr>
        <xdr:cNvPr id="2" name="1 CuadroTexto">
          <a:extLst>
            <a:ext uri="{FF2B5EF4-FFF2-40B4-BE49-F238E27FC236}">
              <a16:creationId xmlns:a16="http://schemas.microsoft.com/office/drawing/2014/main" id="{00000000-0008-0000-0200-000002000000}"/>
            </a:ext>
          </a:extLst>
        </xdr:cNvPr>
        <xdr:cNvSpPr txBox="1"/>
      </xdr:nvSpPr>
      <xdr:spPr>
        <a:xfrm>
          <a:off x="786866" y="6006666"/>
          <a:ext cx="7746029" cy="2455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(1) </a:t>
          </a:r>
          <a:r>
            <a:rPr lang="es-ES" sz="1100">
              <a:solidFill>
                <a:schemeClr val="dk1"/>
              </a:solidFill>
              <a:effectLst/>
              <a:latin typeface="+mn-lt"/>
              <a:ea typeface="+mn-ea"/>
              <a:cs typeface="+mn-cs"/>
            </a:rPr>
            <a:t>Debe constar dentro del equipo de investigación o acreditar su vinculación con el proyecto. Si no se encuentra en la solicitud inicial, debe constar en el informe de seguimiento.</a:t>
          </a:r>
        </a:p>
        <a:p>
          <a:r>
            <a:rPr lang="es-ES" sz="1100" b="1">
              <a:solidFill>
                <a:schemeClr val="dk1"/>
              </a:solidFill>
              <a:effectLst/>
              <a:latin typeface="+mn-lt"/>
              <a:ea typeface="+mn-ea"/>
              <a:cs typeface="+mn-cs"/>
            </a:rPr>
            <a:t>(2) </a:t>
          </a:r>
          <a:r>
            <a:rPr lang="es-ES" sz="1100">
              <a:solidFill>
                <a:schemeClr val="dk1"/>
              </a:solidFill>
              <a:effectLst/>
              <a:latin typeface="+mn-lt"/>
              <a:ea typeface="+mn-ea"/>
              <a:cs typeface="+mn-cs"/>
            </a:rPr>
            <a:t>Debe justificarse la vinculación con el proyecto. Debe constar en el informe de seguimiento.</a:t>
          </a:r>
        </a:p>
        <a:p>
          <a:r>
            <a:rPr lang="es-ES" sz="1100" b="1">
              <a:solidFill>
                <a:schemeClr val="dk1"/>
              </a:solidFill>
              <a:effectLst/>
              <a:latin typeface="+mn-lt"/>
              <a:ea typeface="+mn-ea"/>
              <a:cs typeface="+mn-cs"/>
            </a:rPr>
            <a:t>(3) </a:t>
          </a:r>
          <a:r>
            <a:rPr lang="es-ES" sz="1100">
              <a:solidFill>
                <a:schemeClr val="dk1"/>
              </a:solidFill>
              <a:effectLst/>
              <a:latin typeface="+mn-lt"/>
              <a:ea typeface="+mn-ea"/>
              <a:cs typeface="+mn-cs"/>
            </a:rPr>
            <a:t>Las fechas de los viajes han de coincidir con las fechas del congreso/curso/workshop y hasta un día antes y un día después. No se aceptan fechas anteriores o posteriores salvo que se acredite la existencia de un motivo relacionado con el desarrollo del proyecto. En el caso de las fechas de salida y retorno sean anteriores o posteriores a las anteriormente indicadas y derivadas de causas distintas a las relacionadas con el proyecto, no serán gastos elegibles los gastos de alojamiento y manutención correspondientes a dicho periodo</a:t>
          </a:r>
        </a:p>
        <a:p>
          <a:r>
            <a:rPr lang="es-ES" sz="1100" b="1">
              <a:solidFill>
                <a:schemeClr val="dk1"/>
              </a:solidFill>
              <a:effectLst/>
              <a:latin typeface="+mn-lt"/>
              <a:ea typeface="+mn-ea"/>
              <a:cs typeface="+mn-cs"/>
            </a:rPr>
            <a:t>(4) </a:t>
          </a:r>
          <a:r>
            <a:rPr lang="es-ES" sz="1100">
              <a:solidFill>
                <a:schemeClr val="dk1"/>
              </a:solidFill>
              <a:effectLst/>
              <a:latin typeface="+mn-lt"/>
              <a:ea typeface="+mn-ea"/>
              <a:cs typeface="+mn-cs"/>
            </a:rPr>
            <a:t>Indicar medio de locomoción  empleado. Los viajes ser realizarán en clase turista. No se admite primera clase, preferente o equivalente.</a:t>
          </a:r>
        </a:p>
        <a:p>
          <a:r>
            <a:rPr lang="es-ES" sz="1100" b="1">
              <a:solidFill>
                <a:schemeClr val="dk1"/>
              </a:solidFill>
              <a:effectLst/>
              <a:latin typeface="+mn-lt"/>
              <a:ea typeface="+mn-ea"/>
              <a:cs typeface="+mn-cs"/>
            </a:rPr>
            <a:t>(5) </a:t>
          </a:r>
          <a:r>
            <a:rPr lang="es-ES" sz="1100">
              <a:solidFill>
                <a:schemeClr val="dk1"/>
              </a:solidFill>
              <a:effectLst/>
              <a:latin typeface="+mn-lt"/>
              <a:ea typeface="+mn-ea"/>
              <a:cs typeface="+mn-cs"/>
            </a:rPr>
            <a:t>Desglosar el importe unitario </a:t>
          </a:r>
          <a:r>
            <a:rPr lang="es-ES" sz="1100">
              <a:solidFill>
                <a:schemeClr val="dk1"/>
              </a:solidFill>
              <a:effectLst/>
              <a:latin typeface="+mn-lt"/>
              <a:ea typeface="+mn-ea"/>
              <a:cs typeface="+mn-cs"/>
              <a:sym typeface="Wingdings 2"/>
            </a:rPr>
            <a:t></a:t>
          </a:r>
          <a:r>
            <a:rPr lang="es-ES" sz="1100">
              <a:solidFill>
                <a:schemeClr val="dk1"/>
              </a:solidFill>
              <a:effectLst/>
              <a:latin typeface="+mn-lt"/>
              <a:ea typeface="+mn-ea"/>
              <a:cs typeface="+mn-cs"/>
            </a:rPr>
            <a:t> nº noches.</a:t>
          </a:r>
        </a:p>
        <a:p>
          <a:r>
            <a:rPr lang="es-ES" sz="1100" b="1">
              <a:solidFill>
                <a:schemeClr val="dk1"/>
              </a:solidFill>
              <a:effectLst/>
              <a:latin typeface="+mn-lt"/>
              <a:ea typeface="+mn-ea"/>
              <a:cs typeface="+mn-cs"/>
            </a:rPr>
            <a:t>(6) </a:t>
          </a:r>
          <a:r>
            <a:rPr lang="es-ES" sz="1100">
              <a:solidFill>
                <a:schemeClr val="dk1"/>
              </a:solidFill>
              <a:effectLst/>
              <a:latin typeface="+mn-lt"/>
              <a:ea typeface="+mn-ea"/>
              <a:cs typeface="+mn-cs"/>
            </a:rPr>
            <a:t>Desglosar el importe unitario dieta </a:t>
          </a:r>
          <a:r>
            <a:rPr lang="es-ES" sz="1100">
              <a:solidFill>
                <a:schemeClr val="dk1"/>
              </a:solidFill>
              <a:effectLst/>
              <a:latin typeface="+mn-lt"/>
              <a:ea typeface="+mn-ea"/>
              <a:cs typeface="+mn-cs"/>
              <a:sym typeface="Wingdings 2"/>
            </a:rPr>
            <a:t></a:t>
          </a:r>
          <a:r>
            <a:rPr lang="es-ES" sz="1100">
              <a:solidFill>
                <a:schemeClr val="dk1"/>
              </a:solidFill>
              <a:effectLst/>
              <a:latin typeface="+mn-lt"/>
              <a:ea typeface="+mn-ea"/>
              <a:cs typeface="+mn-cs"/>
            </a:rPr>
            <a:t> nº de días</a:t>
          </a:r>
        </a:p>
        <a:p>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762000</xdr:colOff>
      <xdr:row>0</xdr:row>
      <xdr:rowOff>57150</xdr:rowOff>
    </xdr:from>
    <xdr:to>
      <xdr:col>1</xdr:col>
      <xdr:colOff>1828800</xdr:colOff>
      <xdr:row>5</xdr:row>
      <xdr:rowOff>133350</xdr:rowOff>
    </xdr:to>
    <xdr:pic>
      <xdr:nvPicPr>
        <xdr:cNvPr id="2" name="Picture 2" descr="001logo de borre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57150"/>
          <a:ext cx="10668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94</xdr:col>
      <xdr:colOff>696664</xdr:colOff>
      <xdr:row>0</xdr:row>
      <xdr:rowOff>23615</xdr:rowOff>
    </xdr:from>
    <xdr:to>
      <xdr:col>94</xdr:col>
      <xdr:colOff>1763464</xdr:colOff>
      <xdr:row>5</xdr:row>
      <xdr:rowOff>99815</xdr:rowOff>
    </xdr:to>
    <xdr:pic>
      <xdr:nvPicPr>
        <xdr:cNvPr id="3" name="Picture 2" descr="001logo de borrer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2" y="23615"/>
          <a:ext cx="1066800" cy="914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567564</xdr:colOff>
      <xdr:row>11</xdr:row>
      <xdr:rowOff>106743</xdr:rowOff>
    </xdr:from>
    <xdr:to>
      <xdr:col>9</xdr:col>
      <xdr:colOff>348489</xdr:colOff>
      <xdr:row>26</xdr:row>
      <xdr:rowOff>68013</xdr:rowOff>
    </xdr:to>
    <xdr:sp macro="" textlink="">
      <xdr:nvSpPr>
        <xdr:cNvPr id="2" name="1 CuadroTexto">
          <a:extLst>
            <a:ext uri="{FF2B5EF4-FFF2-40B4-BE49-F238E27FC236}">
              <a16:creationId xmlns:a16="http://schemas.microsoft.com/office/drawing/2014/main" id="{00000000-0008-0000-0600-000002000000}"/>
            </a:ext>
          </a:extLst>
        </xdr:cNvPr>
        <xdr:cNvSpPr txBox="1"/>
      </xdr:nvSpPr>
      <xdr:spPr>
        <a:xfrm>
          <a:off x="567564" y="5525130"/>
          <a:ext cx="7746029" cy="2455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solidFill>
                <a:schemeClr val="dk1"/>
              </a:solidFill>
              <a:effectLst/>
              <a:latin typeface="+mn-lt"/>
              <a:ea typeface="+mn-ea"/>
              <a:cs typeface="+mn-cs"/>
            </a:rPr>
            <a:t>(1) </a:t>
          </a:r>
          <a:r>
            <a:rPr lang="es-ES" sz="1100">
              <a:solidFill>
                <a:schemeClr val="dk1"/>
              </a:solidFill>
              <a:effectLst/>
              <a:latin typeface="+mn-lt"/>
              <a:ea typeface="+mn-ea"/>
              <a:cs typeface="+mn-cs"/>
            </a:rPr>
            <a:t>Debe constar dentro del equipo de investigación o acreditar su vinculación con el proyecto. Si no se encuentra en la solicitud inicial, debe constar en el informe de seguimiento.</a:t>
          </a:r>
        </a:p>
        <a:p>
          <a:r>
            <a:rPr lang="es-ES" sz="1100" b="1">
              <a:solidFill>
                <a:schemeClr val="dk1"/>
              </a:solidFill>
              <a:effectLst/>
              <a:latin typeface="+mn-lt"/>
              <a:ea typeface="+mn-ea"/>
              <a:cs typeface="+mn-cs"/>
            </a:rPr>
            <a:t>(2) </a:t>
          </a:r>
          <a:r>
            <a:rPr lang="es-ES" sz="1100">
              <a:solidFill>
                <a:schemeClr val="dk1"/>
              </a:solidFill>
              <a:effectLst/>
              <a:latin typeface="+mn-lt"/>
              <a:ea typeface="+mn-ea"/>
              <a:cs typeface="+mn-cs"/>
            </a:rPr>
            <a:t>Debe justificarse la vinculación con el proyecto. Debe constar en el informe de seguimiento.</a:t>
          </a:r>
        </a:p>
        <a:p>
          <a:r>
            <a:rPr lang="es-ES" sz="1100" b="1">
              <a:solidFill>
                <a:schemeClr val="dk1"/>
              </a:solidFill>
              <a:effectLst/>
              <a:latin typeface="+mn-lt"/>
              <a:ea typeface="+mn-ea"/>
              <a:cs typeface="+mn-cs"/>
            </a:rPr>
            <a:t>(3) </a:t>
          </a:r>
          <a:r>
            <a:rPr lang="es-ES" sz="1100">
              <a:solidFill>
                <a:schemeClr val="dk1"/>
              </a:solidFill>
              <a:effectLst/>
              <a:latin typeface="+mn-lt"/>
              <a:ea typeface="+mn-ea"/>
              <a:cs typeface="+mn-cs"/>
            </a:rPr>
            <a:t>Las fechas de los viajes han de coincidir con las fechas del congreso/curso/workshop y hasta un día antes y un día después. No se aceptan fechas anteriores o posteriores salvo que se acredite la existencia de un motivo relacionado con el desarrollo del proyecto. En el caso de las fechas de salida y retorno sean anteriores o posteriores a las anteriormente indicadas y derivadas de causas distintas a las relacionadas con el proyecto, no serán gastos elegibles los gastos de alojamiento y manutención correspondientes a dicho periodo</a:t>
          </a:r>
        </a:p>
        <a:p>
          <a:r>
            <a:rPr lang="es-ES" sz="1100" b="1">
              <a:solidFill>
                <a:schemeClr val="dk1"/>
              </a:solidFill>
              <a:effectLst/>
              <a:latin typeface="+mn-lt"/>
              <a:ea typeface="+mn-ea"/>
              <a:cs typeface="+mn-cs"/>
            </a:rPr>
            <a:t>(4) </a:t>
          </a:r>
          <a:r>
            <a:rPr lang="es-ES" sz="1100">
              <a:solidFill>
                <a:schemeClr val="dk1"/>
              </a:solidFill>
              <a:effectLst/>
              <a:latin typeface="+mn-lt"/>
              <a:ea typeface="+mn-ea"/>
              <a:cs typeface="+mn-cs"/>
            </a:rPr>
            <a:t>Indicar medio de locomoción  empleado. Los viajes ser realizarán en clase turista. No se admite primera clase, preferente o equivalente.</a:t>
          </a:r>
        </a:p>
        <a:p>
          <a:r>
            <a:rPr lang="es-ES" sz="1100" b="1">
              <a:solidFill>
                <a:schemeClr val="dk1"/>
              </a:solidFill>
              <a:effectLst/>
              <a:latin typeface="+mn-lt"/>
              <a:ea typeface="+mn-ea"/>
              <a:cs typeface="+mn-cs"/>
            </a:rPr>
            <a:t>(5) </a:t>
          </a:r>
          <a:r>
            <a:rPr lang="es-ES" sz="1100">
              <a:solidFill>
                <a:schemeClr val="dk1"/>
              </a:solidFill>
              <a:effectLst/>
              <a:latin typeface="+mn-lt"/>
              <a:ea typeface="+mn-ea"/>
              <a:cs typeface="+mn-cs"/>
            </a:rPr>
            <a:t>Desglosar el importe unitario </a:t>
          </a:r>
          <a:r>
            <a:rPr lang="es-ES" sz="1100">
              <a:solidFill>
                <a:schemeClr val="dk1"/>
              </a:solidFill>
              <a:effectLst/>
              <a:latin typeface="+mn-lt"/>
              <a:ea typeface="+mn-ea"/>
              <a:cs typeface="+mn-cs"/>
              <a:sym typeface="Wingdings 2"/>
            </a:rPr>
            <a:t></a:t>
          </a:r>
          <a:r>
            <a:rPr lang="es-ES" sz="1100">
              <a:solidFill>
                <a:schemeClr val="dk1"/>
              </a:solidFill>
              <a:effectLst/>
              <a:latin typeface="+mn-lt"/>
              <a:ea typeface="+mn-ea"/>
              <a:cs typeface="+mn-cs"/>
            </a:rPr>
            <a:t> nº noches.</a:t>
          </a:r>
        </a:p>
        <a:p>
          <a:r>
            <a:rPr lang="es-ES" sz="1100" b="1">
              <a:solidFill>
                <a:schemeClr val="dk1"/>
              </a:solidFill>
              <a:effectLst/>
              <a:latin typeface="+mn-lt"/>
              <a:ea typeface="+mn-ea"/>
              <a:cs typeface="+mn-cs"/>
            </a:rPr>
            <a:t>(6) </a:t>
          </a:r>
          <a:r>
            <a:rPr lang="es-ES" sz="1100">
              <a:solidFill>
                <a:schemeClr val="dk1"/>
              </a:solidFill>
              <a:effectLst/>
              <a:latin typeface="+mn-lt"/>
              <a:ea typeface="+mn-ea"/>
              <a:cs typeface="+mn-cs"/>
            </a:rPr>
            <a:t>Desglosar el importe unitario dieta </a:t>
          </a:r>
          <a:r>
            <a:rPr lang="es-ES" sz="1100">
              <a:solidFill>
                <a:schemeClr val="dk1"/>
              </a:solidFill>
              <a:effectLst/>
              <a:latin typeface="+mn-lt"/>
              <a:ea typeface="+mn-ea"/>
              <a:cs typeface="+mn-cs"/>
              <a:sym typeface="Wingdings 2"/>
            </a:rPr>
            <a:t></a:t>
          </a:r>
          <a:r>
            <a:rPr lang="es-ES" sz="1100">
              <a:solidFill>
                <a:schemeClr val="dk1"/>
              </a:solidFill>
              <a:effectLst/>
              <a:latin typeface="+mn-lt"/>
              <a:ea typeface="+mn-ea"/>
              <a:cs typeface="+mn-cs"/>
            </a:rPr>
            <a:t> nº de días</a:t>
          </a:r>
        </a:p>
        <a:p>
          <a:endParaRPr lang="es-E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37387</xdr:colOff>
      <xdr:row>1</xdr:row>
      <xdr:rowOff>38919</xdr:rowOff>
    </xdr:from>
    <xdr:to>
      <xdr:col>17</xdr:col>
      <xdr:colOff>702804</xdr:colOff>
      <xdr:row>23</xdr:row>
      <xdr:rowOff>151140</xdr:rowOff>
    </xdr:to>
    <xdr:pic>
      <xdr:nvPicPr>
        <xdr:cNvPr id="2" name="1 Imagen">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srcRect l="10582" t="25153" r="51671" b="9783"/>
        <a:stretch/>
      </xdr:blipFill>
      <xdr:spPr bwMode="auto">
        <a:xfrm>
          <a:off x="9468554" y="205174"/>
          <a:ext cx="4595070" cy="377737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67383</xdr:colOff>
      <xdr:row>25</xdr:row>
      <xdr:rowOff>73601</xdr:rowOff>
    </xdr:from>
    <xdr:to>
      <xdr:col>17</xdr:col>
      <xdr:colOff>438307</xdr:colOff>
      <xdr:row>52</xdr:row>
      <xdr:rowOff>151140</xdr:rowOff>
    </xdr:to>
    <xdr:pic>
      <xdr:nvPicPr>
        <xdr:cNvPr id="3" name="2 Imagen">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cstate="print"/>
        <a:srcRect l="1081" t="23514" r="68960" b="8633"/>
        <a:stretch/>
      </xdr:blipFill>
      <xdr:spPr bwMode="auto">
        <a:xfrm>
          <a:off x="10065327" y="4237522"/>
          <a:ext cx="4300577" cy="456641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748145</xdr:colOff>
      <xdr:row>91</xdr:row>
      <xdr:rowOff>49991</xdr:rowOff>
    </xdr:from>
    <xdr:to>
      <xdr:col>11</xdr:col>
      <xdr:colOff>37785</xdr:colOff>
      <xdr:row>107</xdr:row>
      <xdr:rowOff>68013</xdr:rowOff>
    </xdr:to>
    <xdr:pic>
      <xdr:nvPicPr>
        <xdr:cNvPr id="4" name="3 Imagen">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3" cstate="print"/>
        <a:srcRect l="1579" t="26601" r="30362" b="37765"/>
        <a:stretch/>
      </xdr:blipFill>
      <xdr:spPr bwMode="auto">
        <a:xfrm>
          <a:off x="748145" y="15216940"/>
          <a:ext cx="8123802" cy="2678094"/>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680133</xdr:colOff>
      <xdr:row>29</xdr:row>
      <xdr:rowOff>97790</xdr:rowOff>
    </xdr:from>
    <xdr:to>
      <xdr:col>12</xdr:col>
      <xdr:colOff>234268</xdr:colOff>
      <xdr:row>49</xdr:row>
      <xdr:rowOff>143583</xdr:rowOff>
    </xdr:to>
    <xdr:pic>
      <xdr:nvPicPr>
        <xdr:cNvPr id="4" name="3 Imagen">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srcRect t="21781" r="15099" b="7008"/>
        <a:stretch/>
      </xdr:blipFill>
      <xdr:spPr bwMode="auto">
        <a:xfrm>
          <a:off x="680133" y="4919172"/>
          <a:ext cx="8985302" cy="337088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6454</xdr:colOff>
      <xdr:row>1</xdr:row>
      <xdr:rowOff>67612</xdr:rowOff>
    </xdr:from>
    <xdr:to>
      <xdr:col>11</xdr:col>
      <xdr:colOff>392966</xdr:colOff>
      <xdr:row>24</xdr:row>
      <xdr:rowOff>60456</xdr:rowOff>
    </xdr:to>
    <xdr:pic>
      <xdr:nvPicPr>
        <xdr:cNvPr id="5" name="4 Imagen">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2" cstate="print"/>
        <a:srcRect t="23502" b="6678"/>
        <a:stretch/>
      </xdr:blipFill>
      <xdr:spPr bwMode="auto">
        <a:xfrm>
          <a:off x="6454" y="233867"/>
          <a:ext cx="9031748" cy="3816698"/>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468535</xdr:colOff>
      <xdr:row>22</xdr:row>
      <xdr:rowOff>113355</xdr:rowOff>
    </xdr:from>
    <xdr:to>
      <xdr:col>3</xdr:col>
      <xdr:colOff>157584</xdr:colOff>
      <xdr:row>25</xdr:row>
      <xdr:rowOff>67981</xdr:rowOff>
    </xdr:to>
    <xdr:sp macro="" textlink="">
      <xdr:nvSpPr>
        <xdr:cNvPr id="3" name="2 Elipse">
          <a:extLst>
            <a:ext uri="{FF2B5EF4-FFF2-40B4-BE49-F238E27FC236}">
              <a16:creationId xmlns:a16="http://schemas.microsoft.com/office/drawing/2014/main" id="{00000000-0008-0000-0900-000003000000}"/>
            </a:ext>
          </a:extLst>
        </xdr:cNvPr>
        <xdr:cNvSpPr/>
      </xdr:nvSpPr>
      <xdr:spPr>
        <a:xfrm>
          <a:off x="2040396" y="3770955"/>
          <a:ext cx="474980" cy="45339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882961</xdr:colOff>
      <xdr:row>0</xdr:row>
      <xdr:rowOff>105168</xdr:rowOff>
    </xdr:from>
    <xdr:to>
      <xdr:col>1</xdr:col>
      <xdr:colOff>1832373</xdr:colOff>
      <xdr:row>5</xdr:row>
      <xdr:rowOff>62977</xdr:rowOff>
    </xdr:to>
    <xdr:pic>
      <xdr:nvPicPr>
        <xdr:cNvPr id="2" name="Picture 2" descr="001logo de borrer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936" y="105168"/>
          <a:ext cx="949412" cy="95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0</xdr:colOff>
      <xdr:row>3</xdr:row>
      <xdr:rowOff>0</xdr:rowOff>
    </xdr:from>
    <xdr:to>
      <xdr:col>38</xdr:col>
      <xdr:colOff>45316</xdr:colOff>
      <xdr:row>19</xdr:row>
      <xdr:rowOff>151335</xdr:rowOff>
    </xdr:to>
    <xdr:pic>
      <xdr:nvPicPr>
        <xdr:cNvPr id="4" name="3 Imagen">
          <a:extLst>
            <a:ext uri="{FF2B5EF4-FFF2-40B4-BE49-F238E27FC236}">
              <a16:creationId xmlns:a16="http://schemas.microsoft.com/office/drawing/2014/main" id="{00000000-0008-0000-0C00-000004000000}"/>
            </a:ext>
          </a:extLst>
        </xdr:cNvPr>
        <xdr:cNvPicPr/>
      </xdr:nvPicPr>
      <xdr:blipFill rotWithShape="1">
        <a:blip xmlns:r="http://schemas.openxmlformats.org/officeDocument/2006/relationships" r:embed="rId2"/>
        <a:srcRect t="22563" r="26799" b="22924"/>
        <a:stretch/>
      </xdr:blipFill>
      <xdr:spPr bwMode="auto">
        <a:xfrm>
          <a:off x="11780562" y="570976"/>
          <a:ext cx="8635134" cy="3644359"/>
        </a:xfrm>
        <a:prstGeom prst="rect">
          <a:avLst/>
        </a:prstGeom>
        <a:ln>
          <a:noFill/>
        </a:ln>
        <a:extLst>
          <a:ext uri="{53640926-AAD7-44D8-BBD7-CCE9431645EC}">
            <a14:shadowObscured xmlns:a14="http://schemas.microsoft.com/office/drawing/2010/main"/>
          </a:ext>
        </a:extLst>
      </xdr:spPr>
    </xdr:pic>
    <xdr:clientData/>
  </xdr:twoCellAnchor>
  <xdr:twoCellAnchor>
    <xdr:from>
      <xdr:col>37</xdr:col>
      <xdr:colOff>774042</xdr:colOff>
      <xdr:row>15</xdr:row>
      <xdr:rowOff>242399</xdr:rowOff>
    </xdr:from>
    <xdr:to>
      <xdr:col>38</xdr:col>
      <xdr:colOff>549984</xdr:colOff>
      <xdr:row>16</xdr:row>
      <xdr:rowOff>152909</xdr:rowOff>
    </xdr:to>
    <xdr:sp macro="" textlink="">
      <xdr:nvSpPr>
        <xdr:cNvPr id="6" name="5 Flecha derecha">
          <a:extLst>
            <a:ext uri="{FF2B5EF4-FFF2-40B4-BE49-F238E27FC236}">
              <a16:creationId xmlns:a16="http://schemas.microsoft.com/office/drawing/2014/main" id="{00000000-0008-0000-0C00-000006000000}"/>
            </a:ext>
          </a:extLst>
        </xdr:cNvPr>
        <xdr:cNvSpPr/>
      </xdr:nvSpPr>
      <xdr:spPr bwMode="auto">
        <a:xfrm>
          <a:off x="20363530" y="3298796"/>
          <a:ext cx="556834" cy="162411"/>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37</xdr:col>
      <xdr:colOff>764099</xdr:colOff>
      <xdr:row>17</xdr:row>
      <xdr:rowOff>159537</xdr:rowOff>
    </xdr:from>
    <xdr:to>
      <xdr:col>38</xdr:col>
      <xdr:colOff>540041</xdr:colOff>
      <xdr:row>18</xdr:row>
      <xdr:rowOff>66733</xdr:rowOff>
    </xdr:to>
    <xdr:sp macro="" textlink="">
      <xdr:nvSpPr>
        <xdr:cNvPr id="7" name="6 Flecha derecha">
          <a:extLst>
            <a:ext uri="{FF2B5EF4-FFF2-40B4-BE49-F238E27FC236}">
              <a16:creationId xmlns:a16="http://schemas.microsoft.com/office/drawing/2014/main" id="{00000000-0008-0000-0C00-000007000000}"/>
            </a:ext>
          </a:extLst>
        </xdr:cNvPr>
        <xdr:cNvSpPr/>
      </xdr:nvSpPr>
      <xdr:spPr bwMode="auto">
        <a:xfrm>
          <a:off x="20353587" y="3719736"/>
          <a:ext cx="556834" cy="15909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38</xdr:col>
      <xdr:colOff>33588</xdr:colOff>
      <xdr:row>21</xdr:row>
      <xdr:rowOff>251902</xdr:rowOff>
    </xdr:from>
    <xdr:to>
      <xdr:col>38</xdr:col>
      <xdr:colOff>590422</xdr:colOff>
      <xdr:row>22</xdr:row>
      <xdr:rowOff>125510</xdr:rowOff>
    </xdr:to>
    <xdr:sp macro="" textlink="">
      <xdr:nvSpPr>
        <xdr:cNvPr id="8" name="7 Flecha derecha">
          <a:extLst>
            <a:ext uri="{FF2B5EF4-FFF2-40B4-BE49-F238E27FC236}">
              <a16:creationId xmlns:a16="http://schemas.microsoft.com/office/drawing/2014/main" id="{00000000-0008-0000-0C00-000008000000}"/>
            </a:ext>
          </a:extLst>
        </xdr:cNvPr>
        <xdr:cNvSpPr/>
      </xdr:nvSpPr>
      <xdr:spPr bwMode="auto">
        <a:xfrm>
          <a:off x="20403968" y="4651770"/>
          <a:ext cx="556834" cy="15909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38</xdr:col>
      <xdr:colOff>75570</xdr:colOff>
      <xdr:row>24</xdr:row>
      <xdr:rowOff>142744</xdr:rowOff>
    </xdr:from>
    <xdr:to>
      <xdr:col>38</xdr:col>
      <xdr:colOff>632404</xdr:colOff>
      <xdr:row>25</xdr:row>
      <xdr:rowOff>49939</xdr:rowOff>
    </xdr:to>
    <xdr:sp macro="" textlink="">
      <xdr:nvSpPr>
        <xdr:cNvPr id="9" name="8 Flecha derecha">
          <a:extLst>
            <a:ext uri="{FF2B5EF4-FFF2-40B4-BE49-F238E27FC236}">
              <a16:creationId xmlns:a16="http://schemas.microsoft.com/office/drawing/2014/main" id="{00000000-0008-0000-0C00-000009000000}"/>
            </a:ext>
          </a:extLst>
        </xdr:cNvPr>
        <xdr:cNvSpPr/>
      </xdr:nvSpPr>
      <xdr:spPr bwMode="auto">
        <a:xfrm>
          <a:off x="20445950" y="5365487"/>
          <a:ext cx="556834" cy="15909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38</xdr:col>
      <xdr:colOff>58777</xdr:colOff>
      <xdr:row>27</xdr:row>
      <xdr:rowOff>75570</xdr:rowOff>
    </xdr:from>
    <xdr:to>
      <xdr:col>38</xdr:col>
      <xdr:colOff>615611</xdr:colOff>
      <xdr:row>28</xdr:row>
      <xdr:rowOff>49939</xdr:rowOff>
    </xdr:to>
    <xdr:sp macro="" textlink="">
      <xdr:nvSpPr>
        <xdr:cNvPr id="10" name="9 Flecha derecha">
          <a:extLst>
            <a:ext uri="{FF2B5EF4-FFF2-40B4-BE49-F238E27FC236}">
              <a16:creationId xmlns:a16="http://schemas.microsoft.com/office/drawing/2014/main" id="{00000000-0008-0000-0C00-00000A000000}"/>
            </a:ext>
          </a:extLst>
        </xdr:cNvPr>
        <xdr:cNvSpPr/>
      </xdr:nvSpPr>
      <xdr:spPr bwMode="auto">
        <a:xfrm>
          <a:off x="20429157" y="6087603"/>
          <a:ext cx="556834" cy="15909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33</xdr:col>
      <xdr:colOff>188926</xdr:colOff>
      <xdr:row>14</xdr:row>
      <xdr:rowOff>99434</xdr:rowOff>
    </xdr:from>
    <xdr:to>
      <xdr:col>34</xdr:col>
      <xdr:colOff>0</xdr:colOff>
      <xdr:row>16</xdr:row>
      <xdr:rowOff>208813</xdr:rowOff>
    </xdr:to>
    <xdr:sp macro="" textlink="">
      <xdr:nvSpPr>
        <xdr:cNvPr id="11" name="10 Elipse">
          <a:extLst>
            <a:ext uri="{FF2B5EF4-FFF2-40B4-BE49-F238E27FC236}">
              <a16:creationId xmlns:a16="http://schemas.microsoft.com/office/drawing/2014/main" id="{00000000-0008-0000-0C00-00000B000000}"/>
            </a:ext>
          </a:extLst>
        </xdr:cNvPr>
        <xdr:cNvSpPr/>
      </xdr:nvSpPr>
      <xdr:spPr bwMode="auto">
        <a:xfrm>
          <a:off x="16625455" y="2893545"/>
          <a:ext cx="586663" cy="60655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editAs="oneCell">
    <xdr:from>
      <xdr:col>26</xdr:col>
      <xdr:colOff>769395</xdr:colOff>
      <xdr:row>19</xdr:row>
      <xdr:rowOff>28311</xdr:rowOff>
    </xdr:from>
    <xdr:to>
      <xdr:col>38</xdr:col>
      <xdr:colOff>125952</xdr:colOff>
      <xdr:row>32</xdr:row>
      <xdr:rowOff>167933</xdr:rowOff>
    </xdr:to>
    <xdr:pic>
      <xdr:nvPicPr>
        <xdr:cNvPr id="13" name="12 Imagen">
          <a:extLst>
            <a:ext uri="{FF2B5EF4-FFF2-40B4-BE49-F238E27FC236}">
              <a16:creationId xmlns:a16="http://schemas.microsoft.com/office/drawing/2014/main" id="{00000000-0008-0000-0C00-00000D000000}"/>
            </a:ext>
          </a:extLst>
        </xdr:cNvPr>
        <xdr:cNvPicPr/>
      </xdr:nvPicPr>
      <xdr:blipFill rotWithShape="1">
        <a:blip xmlns:r="http://schemas.openxmlformats.org/officeDocument/2006/relationships" r:embed="rId3"/>
        <a:srcRect t="31175" r="26721" b="8182"/>
        <a:stretch/>
      </xdr:blipFill>
      <xdr:spPr bwMode="auto">
        <a:xfrm>
          <a:off x="11769064" y="4092311"/>
          <a:ext cx="8727268" cy="3372350"/>
        </a:xfrm>
        <a:prstGeom prst="rect">
          <a:avLst/>
        </a:prstGeom>
        <a:ln>
          <a:noFill/>
        </a:ln>
        <a:extLst>
          <a:ext uri="{53640926-AAD7-44D8-BBD7-CCE9431645EC}">
            <a14:shadowObscured xmlns:a14="http://schemas.microsoft.com/office/drawing/2010/main"/>
          </a:ext>
        </a:extLst>
      </xdr:spPr>
    </xdr:pic>
    <xdr:clientData/>
  </xdr:twoCellAnchor>
  <xdr:twoCellAnchor>
    <xdr:from>
      <xdr:col>35</xdr:col>
      <xdr:colOff>117555</xdr:colOff>
      <xdr:row>21</xdr:row>
      <xdr:rowOff>67173</xdr:rowOff>
    </xdr:from>
    <xdr:to>
      <xdr:col>35</xdr:col>
      <xdr:colOff>709521</xdr:colOff>
      <xdr:row>23</xdr:row>
      <xdr:rowOff>109379</xdr:rowOff>
    </xdr:to>
    <xdr:sp macro="" textlink="">
      <xdr:nvSpPr>
        <xdr:cNvPr id="15" name="14 Elipse">
          <a:extLst>
            <a:ext uri="{FF2B5EF4-FFF2-40B4-BE49-F238E27FC236}">
              <a16:creationId xmlns:a16="http://schemas.microsoft.com/office/drawing/2014/main" id="{00000000-0008-0000-0C00-00000F000000}"/>
            </a:ext>
          </a:extLst>
        </xdr:cNvPr>
        <xdr:cNvSpPr/>
      </xdr:nvSpPr>
      <xdr:spPr bwMode="auto">
        <a:xfrm>
          <a:off x="18145257" y="4467041"/>
          <a:ext cx="591966" cy="61318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30</xdr:col>
      <xdr:colOff>403041</xdr:colOff>
      <xdr:row>22</xdr:row>
      <xdr:rowOff>277090</xdr:rowOff>
    </xdr:from>
    <xdr:to>
      <xdr:col>31</xdr:col>
      <xdr:colOff>470214</xdr:colOff>
      <xdr:row>25</xdr:row>
      <xdr:rowOff>100983</xdr:rowOff>
    </xdr:to>
    <xdr:sp macro="" textlink="">
      <xdr:nvSpPr>
        <xdr:cNvPr id="16" name="15 Elipse">
          <a:extLst>
            <a:ext uri="{FF2B5EF4-FFF2-40B4-BE49-F238E27FC236}">
              <a16:creationId xmlns:a16="http://schemas.microsoft.com/office/drawing/2014/main" id="{00000000-0008-0000-0C00-000010000000}"/>
            </a:ext>
          </a:extLst>
        </xdr:cNvPr>
        <xdr:cNvSpPr/>
      </xdr:nvSpPr>
      <xdr:spPr bwMode="auto">
        <a:xfrm>
          <a:off x="14526281" y="4962446"/>
          <a:ext cx="848065" cy="61318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37</xdr:col>
      <xdr:colOff>109156</xdr:colOff>
      <xdr:row>23</xdr:row>
      <xdr:rowOff>50380</xdr:rowOff>
    </xdr:from>
    <xdr:to>
      <xdr:col>37</xdr:col>
      <xdr:colOff>701122</xdr:colOff>
      <xdr:row>25</xdr:row>
      <xdr:rowOff>159760</xdr:rowOff>
    </xdr:to>
    <xdr:sp macro="" textlink="">
      <xdr:nvSpPr>
        <xdr:cNvPr id="17" name="16 Elipse">
          <a:extLst>
            <a:ext uri="{FF2B5EF4-FFF2-40B4-BE49-F238E27FC236}">
              <a16:creationId xmlns:a16="http://schemas.microsoft.com/office/drawing/2014/main" id="{00000000-0008-0000-0C00-000011000000}"/>
            </a:ext>
          </a:extLst>
        </xdr:cNvPr>
        <xdr:cNvSpPr/>
      </xdr:nvSpPr>
      <xdr:spPr bwMode="auto">
        <a:xfrm>
          <a:off x="19698644" y="5021223"/>
          <a:ext cx="591966" cy="61318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editAs="oneCell">
    <xdr:from>
      <xdr:col>27</xdr:col>
      <xdr:colOff>106302</xdr:colOff>
      <xdr:row>34</xdr:row>
      <xdr:rowOff>75570</xdr:rowOff>
    </xdr:from>
    <xdr:to>
      <xdr:col>37</xdr:col>
      <xdr:colOff>696925</xdr:colOff>
      <xdr:row>50</xdr:row>
      <xdr:rowOff>235108</xdr:rowOff>
    </xdr:to>
    <xdr:pic>
      <xdr:nvPicPr>
        <xdr:cNvPr id="14" name="13 Imagen">
          <a:extLst>
            <a:ext uri="{FF2B5EF4-FFF2-40B4-BE49-F238E27FC236}">
              <a16:creationId xmlns:a16="http://schemas.microsoft.com/office/drawing/2014/main" id="{00000000-0008-0000-0C00-00000E000000}"/>
            </a:ext>
          </a:extLst>
        </xdr:cNvPr>
        <xdr:cNvPicPr/>
      </xdr:nvPicPr>
      <xdr:blipFill rotWithShape="1">
        <a:blip xmlns:r="http://schemas.openxmlformats.org/officeDocument/2006/relationships" r:embed="rId4"/>
        <a:srcRect t="24788" r="34461" b="9053"/>
        <a:stretch/>
      </xdr:blipFill>
      <xdr:spPr bwMode="auto">
        <a:xfrm>
          <a:off x="11886864" y="7934876"/>
          <a:ext cx="8399549" cy="3938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26</xdr:col>
      <xdr:colOff>468085</xdr:colOff>
      <xdr:row>50</xdr:row>
      <xdr:rowOff>201521</xdr:rowOff>
    </xdr:from>
    <xdr:to>
      <xdr:col>37</xdr:col>
      <xdr:colOff>696925</xdr:colOff>
      <xdr:row>67</xdr:row>
      <xdr:rowOff>159538</xdr:rowOff>
    </xdr:to>
    <xdr:pic>
      <xdr:nvPicPr>
        <xdr:cNvPr id="18" name="17 Imagen">
          <a:extLst>
            <a:ext uri="{FF2B5EF4-FFF2-40B4-BE49-F238E27FC236}">
              <a16:creationId xmlns:a16="http://schemas.microsoft.com/office/drawing/2014/main" id="{00000000-0008-0000-0C00-000012000000}"/>
            </a:ext>
          </a:extLst>
        </xdr:cNvPr>
        <xdr:cNvPicPr/>
      </xdr:nvPicPr>
      <xdr:blipFill rotWithShape="1">
        <a:blip xmlns:r="http://schemas.openxmlformats.org/officeDocument/2006/relationships" r:embed="rId5"/>
        <a:srcRect l="-2298" t="25412" r="37075" b="33382"/>
        <a:stretch/>
      </xdr:blipFill>
      <xdr:spPr bwMode="auto">
        <a:xfrm>
          <a:off x="11467754" y="11839339"/>
          <a:ext cx="8818659" cy="2930447"/>
        </a:xfrm>
        <a:prstGeom prst="rect">
          <a:avLst/>
        </a:prstGeom>
        <a:ln>
          <a:noFill/>
        </a:ln>
        <a:extLst>
          <a:ext uri="{53640926-AAD7-44D8-BBD7-CCE9431645EC}">
            <a14:shadowObscured xmlns:a14="http://schemas.microsoft.com/office/drawing/2010/main"/>
          </a:ext>
        </a:extLst>
      </xdr:spPr>
    </xdr:pic>
    <xdr:clientData/>
  </xdr:twoCellAnchor>
  <xdr:twoCellAnchor>
    <xdr:from>
      <xdr:col>28</xdr:col>
      <xdr:colOff>663339</xdr:colOff>
      <xdr:row>41</xdr:row>
      <xdr:rowOff>100761</xdr:rowOff>
    </xdr:from>
    <xdr:to>
      <xdr:col>31</xdr:col>
      <xdr:colOff>419835</xdr:colOff>
      <xdr:row>43</xdr:row>
      <xdr:rowOff>193123</xdr:rowOff>
    </xdr:to>
    <xdr:sp macro="" textlink="">
      <xdr:nvSpPr>
        <xdr:cNvPr id="3" name="2 Elipse">
          <a:extLst>
            <a:ext uri="{FF2B5EF4-FFF2-40B4-BE49-F238E27FC236}">
              <a16:creationId xmlns:a16="http://schemas.microsoft.com/office/drawing/2014/main" id="{00000000-0008-0000-0C00-000003000000}"/>
            </a:ext>
          </a:extLst>
        </xdr:cNvPr>
        <xdr:cNvSpPr/>
      </xdr:nvSpPr>
      <xdr:spPr bwMode="auto">
        <a:xfrm>
          <a:off x="13224793" y="9698182"/>
          <a:ext cx="2099174" cy="50380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32</xdr:col>
      <xdr:colOff>109158</xdr:colOff>
      <xdr:row>34</xdr:row>
      <xdr:rowOff>75570</xdr:rowOff>
    </xdr:from>
    <xdr:to>
      <xdr:col>35</xdr:col>
      <xdr:colOff>0</xdr:colOff>
      <xdr:row>36</xdr:row>
      <xdr:rowOff>8396</xdr:rowOff>
    </xdr:to>
    <xdr:sp macro="" textlink="">
      <xdr:nvSpPr>
        <xdr:cNvPr id="5" name="4 Elipse">
          <a:extLst>
            <a:ext uri="{FF2B5EF4-FFF2-40B4-BE49-F238E27FC236}">
              <a16:creationId xmlns:a16="http://schemas.microsoft.com/office/drawing/2014/main" id="{00000000-0008-0000-0C00-000005000000}"/>
            </a:ext>
          </a:extLst>
        </xdr:cNvPr>
        <xdr:cNvSpPr/>
      </xdr:nvSpPr>
      <xdr:spPr bwMode="auto">
        <a:xfrm>
          <a:off x="15794182" y="7934876"/>
          <a:ext cx="2233520" cy="436628"/>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30</xdr:col>
      <xdr:colOff>75570</xdr:colOff>
      <xdr:row>51</xdr:row>
      <xdr:rowOff>83967</xdr:rowOff>
    </xdr:from>
    <xdr:to>
      <xdr:col>32</xdr:col>
      <xdr:colOff>8397</xdr:colOff>
      <xdr:row>54</xdr:row>
      <xdr:rowOff>8396</xdr:rowOff>
    </xdr:to>
    <xdr:sp macro="" textlink="">
      <xdr:nvSpPr>
        <xdr:cNvPr id="12" name="11 Elipse">
          <a:extLst>
            <a:ext uri="{FF2B5EF4-FFF2-40B4-BE49-F238E27FC236}">
              <a16:creationId xmlns:a16="http://schemas.microsoft.com/office/drawing/2014/main" id="{00000000-0008-0000-0C00-00000C000000}"/>
            </a:ext>
          </a:extLst>
        </xdr:cNvPr>
        <xdr:cNvSpPr/>
      </xdr:nvSpPr>
      <xdr:spPr bwMode="auto">
        <a:xfrm>
          <a:off x="14198810" y="11973686"/>
          <a:ext cx="1494611" cy="42823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editAs="oneCell">
    <xdr:from>
      <xdr:col>26</xdr:col>
      <xdr:colOff>677243</xdr:colOff>
      <xdr:row>68</xdr:row>
      <xdr:rowOff>103248</xdr:rowOff>
    </xdr:from>
    <xdr:to>
      <xdr:col>38</xdr:col>
      <xdr:colOff>184728</xdr:colOff>
      <xdr:row>89</xdr:row>
      <xdr:rowOff>92363</xdr:rowOff>
    </xdr:to>
    <xdr:pic>
      <xdr:nvPicPr>
        <xdr:cNvPr id="19" name="18 Imagen">
          <a:extLst>
            <a:ext uri="{FF2B5EF4-FFF2-40B4-BE49-F238E27FC236}">
              <a16:creationId xmlns:a16="http://schemas.microsoft.com/office/drawing/2014/main" id="{00000000-0008-0000-0C00-000013000000}"/>
            </a:ext>
          </a:extLst>
        </xdr:cNvPr>
        <xdr:cNvPicPr/>
      </xdr:nvPicPr>
      <xdr:blipFill rotWithShape="1">
        <a:blip xmlns:r="http://schemas.openxmlformats.org/officeDocument/2006/relationships" r:embed="rId6"/>
        <a:srcRect t="24727" r="34378" b="28536"/>
        <a:stretch/>
      </xdr:blipFill>
      <xdr:spPr bwMode="auto">
        <a:xfrm>
          <a:off x="11676912" y="14881430"/>
          <a:ext cx="8878196" cy="3532520"/>
        </a:xfrm>
        <a:prstGeom prst="rect">
          <a:avLst/>
        </a:prstGeom>
        <a:ln>
          <a:noFill/>
        </a:ln>
        <a:extLst>
          <a:ext uri="{53640926-AAD7-44D8-BBD7-CCE9431645EC}">
            <a14:shadowObscured xmlns:a14="http://schemas.microsoft.com/office/drawing/2010/main"/>
          </a:ext>
        </a:extLst>
      </xdr:spPr>
    </xdr:pic>
    <xdr:clientData/>
  </xdr:twoCellAnchor>
  <xdr:twoCellAnchor>
    <xdr:from>
      <xdr:col>34</xdr:col>
      <xdr:colOff>386248</xdr:colOff>
      <xdr:row>54</xdr:row>
      <xdr:rowOff>159537</xdr:rowOff>
    </xdr:from>
    <xdr:to>
      <xdr:col>37</xdr:col>
      <xdr:colOff>772496</xdr:colOff>
      <xdr:row>57</xdr:row>
      <xdr:rowOff>16794</xdr:rowOff>
    </xdr:to>
    <xdr:sp macro="" textlink="">
      <xdr:nvSpPr>
        <xdr:cNvPr id="20" name="19 Elipse">
          <a:extLst>
            <a:ext uri="{FF2B5EF4-FFF2-40B4-BE49-F238E27FC236}">
              <a16:creationId xmlns:a16="http://schemas.microsoft.com/office/drawing/2014/main" id="{00000000-0008-0000-0C00-000014000000}"/>
            </a:ext>
          </a:extLst>
        </xdr:cNvPr>
        <xdr:cNvSpPr/>
      </xdr:nvSpPr>
      <xdr:spPr bwMode="auto">
        <a:xfrm>
          <a:off x="17633058" y="12553058"/>
          <a:ext cx="2728926" cy="361058"/>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34</xdr:col>
      <xdr:colOff>260295</xdr:colOff>
      <xdr:row>62</xdr:row>
      <xdr:rowOff>67173</xdr:rowOff>
    </xdr:from>
    <xdr:to>
      <xdr:col>38</xdr:col>
      <xdr:colOff>16795</xdr:colOff>
      <xdr:row>64</xdr:row>
      <xdr:rowOff>142743</xdr:rowOff>
    </xdr:to>
    <xdr:sp macro="" textlink="">
      <xdr:nvSpPr>
        <xdr:cNvPr id="21" name="20 Elipse">
          <a:extLst>
            <a:ext uri="{FF2B5EF4-FFF2-40B4-BE49-F238E27FC236}">
              <a16:creationId xmlns:a16="http://schemas.microsoft.com/office/drawing/2014/main" id="{00000000-0008-0000-0C00-000015000000}"/>
            </a:ext>
          </a:extLst>
        </xdr:cNvPr>
        <xdr:cNvSpPr/>
      </xdr:nvSpPr>
      <xdr:spPr bwMode="auto">
        <a:xfrm>
          <a:off x="17507105" y="13812562"/>
          <a:ext cx="2880070" cy="411438"/>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29</xdr:col>
      <xdr:colOff>67173</xdr:colOff>
      <xdr:row>63</xdr:row>
      <xdr:rowOff>109157</xdr:rowOff>
    </xdr:from>
    <xdr:to>
      <xdr:col>33</xdr:col>
      <xdr:colOff>41983</xdr:colOff>
      <xdr:row>65</xdr:row>
      <xdr:rowOff>134347</xdr:rowOff>
    </xdr:to>
    <xdr:sp macro="" textlink="">
      <xdr:nvSpPr>
        <xdr:cNvPr id="22" name="21 Elipse">
          <a:extLst>
            <a:ext uri="{FF2B5EF4-FFF2-40B4-BE49-F238E27FC236}">
              <a16:creationId xmlns:a16="http://schemas.microsoft.com/office/drawing/2014/main" id="{00000000-0008-0000-0C00-000016000000}"/>
            </a:ext>
          </a:extLst>
        </xdr:cNvPr>
        <xdr:cNvSpPr/>
      </xdr:nvSpPr>
      <xdr:spPr bwMode="auto">
        <a:xfrm>
          <a:off x="13409520" y="14022479"/>
          <a:ext cx="3098381" cy="361058"/>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28</xdr:col>
      <xdr:colOff>235107</xdr:colOff>
      <xdr:row>83</xdr:row>
      <xdr:rowOff>25190</xdr:rowOff>
    </xdr:from>
    <xdr:to>
      <xdr:col>38</xdr:col>
      <xdr:colOff>100760</xdr:colOff>
      <xdr:row>86</xdr:row>
      <xdr:rowOff>134348</xdr:rowOff>
    </xdr:to>
    <xdr:sp macro="" textlink="">
      <xdr:nvSpPr>
        <xdr:cNvPr id="23" name="22 Elipse">
          <a:extLst>
            <a:ext uri="{FF2B5EF4-FFF2-40B4-BE49-F238E27FC236}">
              <a16:creationId xmlns:a16="http://schemas.microsoft.com/office/drawing/2014/main" id="{00000000-0008-0000-0C00-000017000000}"/>
            </a:ext>
          </a:extLst>
        </xdr:cNvPr>
        <xdr:cNvSpPr/>
      </xdr:nvSpPr>
      <xdr:spPr bwMode="auto">
        <a:xfrm>
          <a:off x="12796561" y="17372760"/>
          <a:ext cx="7674579" cy="61296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38</xdr:col>
      <xdr:colOff>50380</xdr:colOff>
      <xdr:row>55</xdr:row>
      <xdr:rowOff>58778</xdr:rowOff>
    </xdr:from>
    <xdr:to>
      <xdr:col>38</xdr:col>
      <xdr:colOff>755703</xdr:colOff>
      <xdr:row>56</xdr:row>
      <xdr:rowOff>50381</xdr:rowOff>
    </xdr:to>
    <xdr:sp macro="" textlink="">
      <xdr:nvSpPr>
        <xdr:cNvPr id="24" name="23 Flecha derecha">
          <a:extLst>
            <a:ext uri="{FF2B5EF4-FFF2-40B4-BE49-F238E27FC236}">
              <a16:creationId xmlns:a16="http://schemas.microsoft.com/office/drawing/2014/main" id="{00000000-0008-0000-0C00-000018000000}"/>
            </a:ext>
          </a:extLst>
        </xdr:cNvPr>
        <xdr:cNvSpPr/>
      </xdr:nvSpPr>
      <xdr:spPr bwMode="auto">
        <a:xfrm>
          <a:off x="20420760" y="12620232"/>
          <a:ext cx="705323" cy="159538"/>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38</xdr:col>
      <xdr:colOff>67173</xdr:colOff>
      <xdr:row>63</xdr:row>
      <xdr:rowOff>33587</xdr:rowOff>
    </xdr:from>
    <xdr:to>
      <xdr:col>38</xdr:col>
      <xdr:colOff>747306</xdr:colOff>
      <xdr:row>64</xdr:row>
      <xdr:rowOff>16793</xdr:rowOff>
    </xdr:to>
    <xdr:sp macro="" textlink="">
      <xdr:nvSpPr>
        <xdr:cNvPr id="25" name="24 Flecha derecha">
          <a:extLst>
            <a:ext uri="{FF2B5EF4-FFF2-40B4-BE49-F238E27FC236}">
              <a16:creationId xmlns:a16="http://schemas.microsoft.com/office/drawing/2014/main" id="{00000000-0008-0000-0C00-000019000000}"/>
            </a:ext>
          </a:extLst>
        </xdr:cNvPr>
        <xdr:cNvSpPr/>
      </xdr:nvSpPr>
      <xdr:spPr bwMode="auto">
        <a:xfrm>
          <a:off x="20437553" y="13946909"/>
          <a:ext cx="680133" cy="151141"/>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32</xdr:col>
      <xdr:colOff>436627</xdr:colOff>
      <xdr:row>65</xdr:row>
      <xdr:rowOff>29851</xdr:rowOff>
    </xdr:from>
    <xdr:to>
      <xdr:col>38</xdr:col>
      <xdr:colOff>764099</xdr:colOff>
      <xdr:row>66</xdr:row>
      <xdr:rowOff>33587</xdr:rowOff>
    </xdr:to>
    <xdr:sp macro="" textlink="">
      <xdr:nvSpPr>
        <xdr:cNvPr id="26" name="25 Flecha derecha">
          <a:extLst>
            <a:ext uri="{FF2B5EF4-FFF2-40B4-BE49-F238E27FC236}">
              <a16:creationId xmlns:a16="http://schemas.microsoft.com/office/drawing/2014/main" id="{00000000-0008-0000-0C00-00001A000000}"/>
            </a:ext>
          </a:extLst>
        </xdr:cNvPr>
        <xdr:cNvSpPr/>
      </xdr:nvSpPr>
      <xdr:spPr bwMode="auto">
        <a:xfrm>
          <a:off x="16121651" y="14279041"/>
          <a:ext cx="5012828" cy="171670"/>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38</xdr:col>
      <xdr:colOff>151140</xdr:colOff>
      <xdr:row>84</xdr:row>
      <xdr:rowOff>159536</xdr:rowOff>
    </xdr:from>
    <xdr:to>
      <xdr:col>38</xdr:col>
      <xdr:colOff>579371</xdr:colOff>
      <xdr:row>85</xdr:row>
      <xdr:rowOff>163271</xdr:rowOff>
    </xdr:to>
    <xdr:sp macro="" textlink="">
      <xdr:nvSpPr>
        <xdr:cNvPr id="27" name="26 Flecha derecha">
          <a:extLst>
            <a:ext uri="{FF2B5EF4-FFF2-40B4-BE49-F238E27FC236}">
              <a16:creationId xmlns:a16="http://schemas.microsoft.com/office/drawing/2014/main" id="{00000000-0008-0000-0C00-00001B000000}"/>
            </a:ext>
          </a:extLst>
        </xdr:cNvPr>
        <xdr:cNvSpPr/>
      </xdr:nvSpPr>
      <xdr:spPr bwMode="auto">
        <a:xfrm>
          <a:off x="20521520" y="17675040"/>
          <a:ext cx="428231" cy="171669"/>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34</xdr:col>
      <xdr:colOff>713720</xdr:colOff>
      <xdr:row>34</xdr:row>
      <xdr:rowOff>226712</xdr:rowOff>
    </xdr:from>
    <xdr:to>
      <xdr:col>37</xdr:col>
      <xdr:colOff>671735</xdr:colOff>
      <xdr:row>36</xdr:row>
      <xdr:rowOff>8396</xdr:rowOff>
    </xdr:to>
    <xdr:sp macro="" textlink="">
      <xdr:nvSpPr>
        <xdr:cNvPr id="28" name="27 Flecha derecha">
          <a:extLst>
            <a:ext uri="{FF2B5EF4-FFF2-40B4-BE49-F238E27FC236}">
              <a16:creationId xmlns:a16="http://schemas.microsoft.com/office/drawing/2014/main" id="{00000000-0008-0000-0C00-00001C000000}"/>
            </a:ext>
          </a:extLst>
        </xdr:cNvPr>
        <xdr:cNvSpPr/>
      </xdr:nvSpPr>
      <xdr:spPr bwMode="auto">
        <a:xfrm>
          <a:off x="17960530" y="8086018"/>
          <a:ext cx="2300693" cy="28548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31</xdr:col>
      <xdr:colOff>772496</xdr:colOff>
      <xdr:row>52</xdr:row>
      <xdr:rowOff>0</xdr:rowOff>
    </xdr:from>
    <xdr:to>
      <xdr:col>38</xdr:col>
      <xdr:colOff>713719</xdr:colOff>
      <xdr:row>53</xdr:row>
      <xdr:rowOff>8396</xdr:rowOff>
    </xdr:to>
    <xdr:sp macro="" textlink="">
      <xdr:nvSpPr>
        <xdr:cNvPr id="29" name="28 Flecha derecha">
          <a:extLst>
            <a:ext uri="{FF2B5EF4-FFF2-40B4-BE49-F238E27FC236}">
              <a16:creationId xmlns:a16="http://schemas.microsoft.com/office/drawing/2014/main" id="{00000000-0008-0000-0C00-00001D000000}"/>
            </a:ext>
          </a:extLst>
        </xdr:cNvPr>
        <xdr:cNvSpPr/>
      </xdr:nvSpPr>
      <xdr:spPr bwMode="auto">
        <a:xfrm>
          <a:off x="15676628" y="12057653"/>
          <a:ext cx="5407471" cy="176330"/>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37</xdr:col>
      <xdr:colOff>700772</xdr:colOff>
      <xdr:row>59</xdr:row>
      <xdr:rowOff>135547</xdr:rowOff>
    </xdr:from>
    <xdr:to>
      <xdr:col>38</xdr:col>
      <xdr:colOff>775388</xdr:colOff>
      <xdr:row>60</xdr:row>
      <xdr:rowOff>150529</xdr:rowOff>
    </xdr:to>
    <xdr:sp macro="" textlink="">
      <xdr:nvSpPr>
        <xdr:cNvPr id="30" name="29 Flecha derecha">
          <a:extLst>
            <a:ext uri="{FF2B5EF4-FFF2-40B4-BE49-F238E27FC236}">
              <a16:creationId xmlns:a16="http://schemas.microsoft.com/office/drawing/2014/main" id="{00000000-0008-0000-0C00-00001E000000}"/>
            </a:ext>
          </a:extLst>
        </xdr:cNvPr>
        <xdr:cNvSpPr/>
      </xdr:nvSpPr>
      <xdr:spPr bwMode="auto">
        <a:xfrm rot="1375982">
          <a:off x="20290260" y="13377134"/>
          <a:ext cx="855508" cy="182916"/>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34</xdr:col>
      <xdr:colOff>285486</xdr:colOff>
      <xdr:row>26</xdr:row>
      <xdr:rowOff>151141</xdr:rowOff>
    </xdr:from>
    <xdr:to>
      <xdr:col>37</xdr:col>
      <xdr:colOff>596163</xdr:colOff>
      <xdr:row>27</xdr:row>
      <xdr:rowOff>125951</xdr:rowOff>
    </xdr:to>
    <xdr:sp macro="" textlink="">
      <xdr:nvSpPr>
        <xdr:cNvPr id="31" name="30 Elipse">
          <a:extLst>
            <a:ext uri="{FF2B5EF4-FFF2-40B4-BE49-F238E27FC236}">
              <a16:creationId xmlns:a16="http://schemas.microsoft.com/office/drawing/2014/main" id="{00000000-0008-0000-0C00-00001F000000}"/>
            </a:ext>
          </a:extLst>
        </xdr:cNvPr>
        <xdr:cNvSpPr/>
      </xdr:nvSpPr>
      <xdr:spPr bwMode="auto">
        <a:xfrm>
          <a:off x="17532296" y="5877687"/>
          <a:ext cx="2653355" cy="260297"/>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37</xdr:col>
      <xdr:colOff>637151</xdr:colOff>
      <xdr:row>25</xdr:row>
      <xdr:rowOff>240630</xdr:rowOff>
    </xdr:from>
    <xdr:to>
      <xdr:col>39</xdr:col>
      <xdr:colOff>11857</xdr:colOff>
      <xdr:row>26</xdr:row>
      <xdr:rowOff>172537</xdr:rowOff>
    </xdr:to>
    <xdr:sp macro="" textlink="">
      <xdr:nvSpPr>
        <xdr:cNvPr id="32" name="31 Flecha derecha">
          <a:extLst>
            <a:ext uri="{FF2B5EF4-FFF2-40B4-BE49-F238E27FC236}">
              <a16:creationId xmlns:a16="http://schemas.microsoft.com/office/drawing/2014/main" id="{00000000-0008-0000-0C00-000020000000}"/>
            </a:ext>
          </a:extLst>
        </xdr:cNvPr>
        <xdr:cNvSpPr/>
      </xdr:nvSpPr>
      <xdr:spPr bwMode="auto">
        <a:xfrm rot="20469654">
          <a:off x="20226639" y="5715274"/>
          <a:ext cx="936490" cy="183809"/>
        </a:xfrm>
        <a:prstGeom prst="right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30</xdr:col>
      <xdr:colOff>41981</xdr:colOff>
      <xdr:row>7</xdr:row>
      <xdr:rowOff>58777</xdr:rowOff>
    </xdr:from>
    <xdr:to>
      <xdr:col>31</xdr:col>
      <xdr:colOff>327470</xdr:colOff>
      <xdr:row>10</xdr:row>
      <xdr:rowOff>8619</xdr:rowOff>
    </xdr:to>
    <xdr:sp macro="" textlink="">
      <xdr:nvSpPr>
        <xdr:cNvPr id="33" name="32 Elipse">
          <a:extLst>
            <a:ext uri="{FF2B5EF4-FFF2-40B4-BE49-F238E27FC236}">
              <a16:creationId xmlns:a16="http://schemas.microsoft.com/office/drawing/2014/main" id="{00000000-0008-0000-0C00-000021000000}"/>
            </a:ext>
          </a:extLst>
        </xdr:cNvPr>
        <xdr:cNvSpPr/>
      </xdr:nvSpPr>
      <xdr:spPr bwMode="auto">
        <a:xfrm>
          <a:off x="14165221" y="1402248"/>
          <a:ext cx="1066381" cy="46204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30</xdr:col>
      <xdr:colOff>268694</xdr:colOff>
      <xdr:row>18</xdr:row>
      <xdr:rowOff>167933</xdr:rowOff>
    </xdr:from>
    <xdr:to>
      <xdr:col>31</xdr:col>
      <xdr:colOff>604562</xdr:colOff>
      <xdr:row>21</xdr:row>
      <xdr:rowOff>193345</xdr:rowOff>
    </xdr:to>
    <xdr:sp macro="" textlink="">
      <xdr:nvSpPr>
        <xdr:cNvPr id="34" name="33 Elipse">
          <a:extLst>
            <a:ext uri="{FF2B5EF4-FFF2-40B4-BE49-F238E27FC236}">
              <a16:creationId xmlns:a16="http://schemas.microsoft.com/office/drawing/2014/main" id="{00000000-0008-0000-0C00-000022000000}"/>
            </a:ext>
          </a:extLst>
        </xdr:cNvPr>
        <xdr:cNvSpPr/>
      </xdr:nvSpPr>
      <xdr:spPr bwMode="auto">
        <a:xfrm>
          <a:off x="14391934" y="3980032"/>
          <a:ext cx="1116760" cy="613181"/>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793178</xdr:colOff>
      <xdr:row>72</xdr:row>
      <xdr:rowOff>52697</xdr:rowOff>
    </xdr:from>
    <xdr:to>
      <xdr:col>8</xdr:col>
      <xdr:colOff>672577</xdr:colOff>
      <xdr:row>94</xdr:row>
      <xdr:rowOff>15113</xdr:rowOff>
    </xdr:to>
    <xdr:pic>
      <xdr:nvPicPr>
        <xdr:cNvPr id="3" name="2 Imagen">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a:srcRect l="9846" t="36451" r="10573" b="1439"/>
        <a:stretch/>
      </xdr:blipFill>
      <xdr:spPr bwMode="auto">
        <a:xfrm>
          <a:off x="793178" y="11221980"/>
          <a:ext cx="6287756" cy="36200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732798</xdr:colOff>
      <xdr:row>72</xdr:row>
      <xdr:rowOff>156126</xdr:rowOff>
    </xdr:from>
    <xdr:to>
      <xdr:col>17</xdr:col>
      <xdr:colOff>347623</xdr:colOff>
      <xdr:row>94</xdr:row>
      <xdr:rowOff>22670</xdr:rowOff>
    </xdr:to>
    <xdr:pic>
      <xdr:nvPicPr>
        <xdr:cNvPr id="4" name="3 Imagen">
          <a:extLst>
            <a:ext uri="{FF2B5EF4-FFF2-40B4-BE49-F238E27FC236}">
              <a16:creationId xmlns:a16="http://schemas.microsoft.com/office/drawing/2014/main" id="{00000000-0008-0000-0D00-000004000000}"/>
            </a:ext>
          </a:extLst>
        </xdr:cNvPr>
        <xdr:cNvPicPr/>
      </xdr:nvPicPr>
      <xdr:blipFill rotWithShape="1">
        <a:blip xmlns:r="http://schemas.openxmlformats.org/officeDocument/2006/relationships" r:embed="rId2"/>
        <a:srcRect l="11752" t="2406" r="10978" b="25000"/>
        <a:stretch/>
      </xdr:blipFill>
      <xdr:spPr bwMode="auto">
        <a:xfrm>
          <a:off x="7080699" y="11325409"/>
          <a:ext cx="5902270" cy="352414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151140</xdr:colOff>
      <xdr:row>75</xdr:row>
      <xdr:rowOff>83128</xdr:rowOff>
    </xdr:from>
    <xdr:to>
      <xdr:col>2</xdr:col>
      <xdr:colOff>317395</xdr:colOff>
      <xdr:row>76</xdr:row>
      <xdr:rowOff>52899</xdr:rowOff>
    </xdr:to>
    <xdr:sp macro="" textlink="">
      <xdr:nvSpPr>
        <xdr:cNvPr id="5" name="4 Rectángulo">
          <a:extLst>
            <a:ext uri="{FF2B5EF4-FFF2-40B4-BE49-F238E27FC236}">
              <a16:creationId xmlns:a16="http://schemas.microsoft.com/office/drawing/2014/main" id="{00000000-0008-0000-0D00-000005000000}"/>
            </a:ext>
          </a:extLst>
        </xdr:cNvPr>
        <xdr:cNvSpPr/>
      </xdr:nvSpPr>
      <xdr:spPr bwMode="auto">
        <a:xfrm>
          <a:off x="997527" y="11751174"/>
          <a:ext cx="952185" cy="13602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136026</xdr:colOff>
      <xdr:row>76</xdr:row>
      <xdr:rowOff>75570</xdr:rowOff>
    </xdr:from>
    <xdr:to>
      <xdr:col>1</xdr:col>
      <xdr:colOff>687689</xdr:colOff>
      <xdr:row>76</xdr:row>
      <xdr:rowOff>143583</xdr:rowOff>
    </xdr:to>
    <xdr:sp macro="" textlink="">
      <xdr:nvSpPr>
        <xdr:cNvPr id="6" name="5 Rectángulo">
          <a:extLst>
            <a:ext uri="{FF2B5EF4-FFF2-40B4-BE49-F238E27FC236}">
              <a16:creationId xmlns:a16="http://schemas.microsoft.com/office/drawing/2014/main" id="{00000000-0008-0000-0D00-000006000000}"/>
            </a:ext>
          </a:extLst>
        </xdr:cNvPr>
        <xdr:cNvSpPr/>
      </xdr:nvSpPr>
      <xdr:spPr bwMode="auto">
        <a:xfrm>
          <a:off x="982413" y="11909871"/>
          <a:ext cx="551663" cy="6801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120913</xdr:colOff>
      <xdr:row>79</xdr:row>
      <xdr:rowOff>7557</xdr:rowOff>
    </xdr:from>
    <xdr:to>
      <xdr:col>2</xdr:col>
      <xdr:colOff>513879</xdr:colOff>
      <xdr:row>85</xdr:row>
      <xdr:rowOff>0</xdr:rowOff>
    </xdr:to>
    <xdr:sp macro="" textlink="">
      <xdr:nvSpPr>
        <xdr:cNvPr id="7" name="6 Rectángulo">
          <a:extLst>
            <a:ext uri="{FF2B5EF4-FFF2-40B4-BE49-F238E27FC236}">
              <a16:creationId xmlns:a16="http://schemas.microsoft.com/office/drawing/2014/main" id="{00000000-0008-0000-0D00-000007000000}"/>
            </a:ext>
          </a:extLst>
        </xdr:cNvPr>
        <xdr:cNvSpPr/>
      </xdr:nvSpPr>
      <xdr:spPr bwMode="auto">
        <a:xfrm>
          <a:off x="967300" y="12340621"/>
          <a:ext cx="1178896" cy="9899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9</xdr:col>
      <xdr:colOff>75572</xdr:colOff>
      <xdr:row>79</xdr:row>
      <xdr:rowOff>98242</xdr:rowOff>
    </xdr:from>
    <xdr:to>
      <xdr:col>10</xdr:col>
      <xdr:colOff>445865</xdr:colOff>
      <xdr:row>83</xdr:row>
      <xdr:rowOff>30228</xdr:rowOff>
    </xdr:to>
    <xdr:sp macro="" textlink="">
      <xdr:nvSpPr>
        <xdr:cNvPr id="8" name="7 Rectángulo">
          <a:extLst>
            <a:ext uri="{FF2B5EF4-FFF2-40B4-BE49-F238E27FC236}">
              <a16:creationId xmlns:a16="http://schemas.microsoft.com/office/drawing/2014/main" id="{00000000-0008-0000-0D00-000008000000}"/>
            </a:ext>
          </a:extLst>
        </xdr:cNvPr>
        <xdr:cNvSpPr/>
      </xdr:nvSpPr>
      <xdr:spPr bwMode="auto">
        <a:xfrm>
          <a:off x="7209403" y="12431306"/>
          <a:ext cx="1156224" cy="59700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3</xdr:col>
      <xdr:colOff>173813</xdr:colOff>
      <xdr:row>93</xdr:row>
      <xdr:rowOff>22671</xdr:rowOff>
    </xdr:from>
    <xdr:to>
      <xdr:col>4</xdr:col>
      <xdr:colOff>453422</xdr:colOff>
      <xdr:row>95</xdr:row>
      <xdr:rowOff>136026</xdr:rowOff>
    </xdr:to>
    <xdr:sp macro="" textlink="">
      <xdr:nvSpPr>
        <xdr:cNvPr id="10" name="9 Rectángulo">
          <a:extLst>
            <a:ext uri="{FF2B5EF4-FFF2-40B4-BE49-F238E27FC236}">
              <a16:creationId xmlns:a16="http://schemas.microsoft.com/office/drawing/2014/main" id="{00000000-0008-0000-0D00-00000A000000}"/>
            </a:ext>
          </a:extLst>
        </xdr:cNvPr>
        <xdr:cNvSpPr/>
      </xdr:nvSpPr>
      <xdr:spPr bwMode="auto">
        <a:xfrm>
          <a:off x="2592061" y="14683299"/>
          <a:ext cx="1065540" cy="445864"/>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r>
            <a:rPr lang="es-ES" sz="1100" b="1">
              <a:solidFill>
                <a:srgbClr val="990000"/>
              </a:solidFill>
            </a:rPr>
            <a:t>Importe del Billete, lleva IVA</a:t>
          </a:r>
        </a:p>
      </xdr:txBody>
    </xdr:sp>
    <xdr:clientData/>
  </xdr:twoCellAnchor>
  <xdr:twoCellAnchor>
    <xdr:from>
      <xdr:col>4</xdr:col>
      <xdr:colOff>151140</xdr:colOff>
      <xdr:row>91</xdr:row>
      <xdr:rowOff>0</xdr:rowOff>
    </xdr:from>
    <xdr:to>
      <xdr:col>4</xdr:col>
      <xdr:colOff>241824</xdr:colOff>
      <xdr:row>93</xdr:row>
      <xdr:rowOff>30228</xdr:rowOff>
    </xdr:to>
    <xdr:sp macro="" textlink="">
      <xdr:nvSpPr>
        <xdr:cNvPr id="11" name="10 Flecha arriba">
          <a:extLst>
            <a:ext uri="{FF2B5EF4-FFF2-40B4-BE49-F238E27FC236}">
              <a16:creationId xmlns:a16="http://schemas.microsoft.com/office/drawing/2014/main" id="{00000000-0008-0000-0D00-00000B000000}"/>
            </a:ext>
          </a:extLst>
        </xdr:cNvPr>
        <xdr:cNvSpPr/>
      </xdr:nvSpPr>
      <xdr:spPr bwMode="auto">
        <a:xfrm>
          <a:off x="3355319" y="14328119"/>
          <a:ext cx="90684" cy="362737"/>
        </a:xfrm>
        <a:prstGeom prst="up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4</xdr:col>
      <xdr:colOff>627233</xdr:colOff>
      <xdr:row>93</xdr:row>
      <xdr:rowOff>52899</xdr:rowOff>
    </xdr:from>
    <xdr:to>
      <xdr:col>6</xdr:col>
      <xdr:colOff>105799</xdr:colOff>
      <xdr:row>96</xdr:row>
      <xdr:rowOff>113355</xdr:rowOff>
    </xdr:to>
    <xdr:sp macro="" textlink="">
      <xdr:nvSpPr>
        <xdr:cNvPr id="12" name="11 Rectángulo">
          <a:extLst>
            <a:ext uri="{FF2B5EF4-FFF2-40B4-BE49-F238E27FC236}">
              <a16:creationId xmlns:a16="http://schemas.microsoft.com/office/drawing/2014/main" id="{00000000-0008-0000-0D00-00000C000000}"/>
            </a:ext>
          </a:extLst>
        </xdr:cNvPr>
        <xdr:cNvSpPr/>
      </xdr:nvSpPr>
      <xdr:spPr bwMode="auto">
        <a:xfrm>
          <a:off x="3831412" y="14713527"/>
          <a:ext cx="1050427" cy="559220"/>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r>
            <a:rPr lang="es-ES" sz="1100" b="1">
              <a:solidFill>
                <a:srgbClr val="990000"/>
              </a:solidFill>
            </a:rPr>
            <a:t>Importe del Recargo, no lleva IVA </a:t>
          </a:r>
        </a:p>
      </xdr:txBody>
    </xdr:sp>
    <xdr:clientData/>
  </xdr:twoCellAnchor>
  <xdr:twoCellAnchor>
    <xdr:from>
      <xdr:col>5</xdr:col>
      <xdr:colOff>294724</xdr:colOff>
      <xdr:row>91</xdr:row>
      <xdr:rowOff>45342</xdr:rowOff>
    </xdr:from>
    <xdr:to>
      <xdr:col>5</xdr:col>
      <xdr:colOff>408079</xdr:colOff>
      <xdr:row>93</xdr:row>
      <xdr:rowOff>52899</xdr:rowOff>
    </xdr:to>
    <xdr:sp macro="" textlink="">
      <xdr:nvSpPr>
        <xdr:cNvPr id="13" name="12 Flecha arriba">
          <a:extLst>
            <a:ext uri="{FF2B5EF4-FFF2-40B4-BE49-F238E27FC236}">
              <a16:creationId xmlns:a16="http://schemas.microsoft.com/office/drawing/2014/main" id="{00000000-0008-0000-0D00-00000D000000}"/>
            </a:ext>
          </a:extLst>
        </xdr:cNvPr>
        <xdr:cNvSpPr/>
      </xdr:nvSpPr>
      <xdr:spPr bwMode="auto">
        <a:xfrm>
          <a:off x="4284833" y="14373461"/>
          <a:ext cx="113355" cy="340066"/>
        </a:xfrm>
        <a:prstGeom prst="upArrow">
          <a:avLst/>
        </a:prstGeom>
        <a:solidFill>
          <a:srgbClr val="99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11</xdr:col>
      <xdr:colOff>166253</xdr:colOff>
      <xdr:row>86</xdr:row>
      <xdr:rowOff>105799</xdr:rowOff>
    </xdr:from>
    <xdr:to>
      <xdr:col>13</xdr:col>
      <xdr:colOff>98240</xdr:colOff>
      <xdr:row>90</xdr:row>
      <xdr:rowOff>37786</xdr:rowOff>
    </xdr:to>
    <xdr:sp macro="" textlink="">
      <xdr:nvSpPr>
        <xdr:cNvPr id="15" name="14 Rectángulo">
          <a:extLst>
            <a:ext uri="{FF2B5EF4-FFF2-40B4-BE49-F238E27FC236}">
              <a16:creationId xmlns:a16="http://schemas.microsoft.com/office/drawing/2014/main" id="{00000000-0008-0000-0D00-00000F000000}"/>
            </a:ext>
          </a:extLst>
        </xdr:cNvPr>
        <xdr:cNvSpPr/>
      </xdr:nvSpPr>
      <xdr:spPr bwMode="auto">
        <a:xfrm>
          <a:off x="8871946" y="13602645"/>
          <a:ext cx="717917" cy="597005"/>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ctr"/>
          <a:r>
            <a:rPr lang="es-ES" sz="1100" b="1">
              <a:solidFill>
                <a:srgbClr val="990000"/>
              </a:solidFill>
            </a:rPr>
            <a:t>Descuento del alojamiento</a:t>
          </a:r>
        </a:p>
      </xdr:txBody>
    </xdr:sp>
    <xdr:clientData/>
  </xdr:twoCellAnchor>
  <xdr:twoCellAnchor>
    <xdr:from>
      <xdr:col>11</xdr:col>
      <xdr:colOff>22671</xdr:colOff>
      <xdr:row>84</xdr:row>
      <xdr:rowOff>37785</xdr:rowOff>
    </xdr:from>
    <xdr:to>
      <xdr:col>11</xdr:col>
      <xdr:colOff>528991</xdr:colOff>
      <xdr:row>85</xdr:row>
      <xdr:rowOff>113355</xdr:rowOff>
    </xdr:to>
    <xdr:sp macro="" textlink="">
      <xdr:nvSpPr>
        <xdr:cNvPr id="16" name="15 Elipse">
          <a:extLst>
            <a:ext uri="{FF2B5EF4-FFF2-40B4-BE49-F238E27FC236}">
              <a16:creationId xmlns:a16="http://schemas.microsoft.com/office/drawing/2014/main" id="{00000000-0008-0000-0D00-000010000000}"/>
            </a:ext>
          </a:extLst>
        </xdr:cNvPr>
        <xdr:cNvSpPr/>
      </xdr:nvSpPr>
      <xdr:spPr bwMode="auto">
        <a:xfrm>
          <a:off x="8728364" y="13202122"/>
          <a:ext cx="506320" cy="24182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11</xdr:col>
      <xdr:colOff>340066</xdr:colOff>
      <xdr:row>85</xdr:row>
      <xdr:rowOff>98241</xdr:rowOff>
    </xdr:from>
    <xdr:to>
      <xdr:col>11</xdr:col>
      <xdr:colOff>491206</xdr:colOff>
      <xdr:row>86</xdr:row>
      <xdr:rowOff>120913</xdr:rowOff>
    </xdr:to>
    <xdr:sp macro="" textlink="">
      <xdr:nvSpPr>
        <xdr:cNvPr id="17" name="16 Flecha arriba">
          <a:extLst>
            <a:ext uri="{FF2B5EF4-FFF2-40B4-BE49-F238E27FC236}">
              <a16:creationId xmlns:a16="http://schemas.microsoft.com/office/drawing/2014/main" id="{00000000-0008-0000-0D00-000011000000}"/>
            </a:ext>
          </a:extLst>
        </xdr:cNvPr>
        <xdr:cNvSpPr/>
      </xdr:nvSpPr>
      <xdr:spPr bwMode="auto">
        <a:xfrm>
          <a:off x="9045759" y="13428833"/>
          <a:ext cx="151140" cy="188926"/>
        </a:xfrm>
        <a:prstGeom prst="upArrow">
          <a:avLst/>
        </a:prstGeom>
        <a:solidFill>
          <a:srgbClr val="99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ES" sz="1100"/>
        </a:p>
      </xdr:txBody>
    </xdr:sp>
    <xdr:clientData/>
  </xdr:twoCellAnchor>
  <xdr:twoCellAnchor>
    <xdr:from>
      <xdr:col>10</xdr:col>
      <xdr:colOff>476093</xdr:colOff>
      <xdr:row>93</xdr:row>
      <xdr:rowOff>158698</xdr:rowOff>
    </xdr:from>
    <xdr:to>
      <xdr:col>12</xdr:col>
      <xdr:colOff>22671</xdr:colOff>
      <xdr:row>96</xdr:row>
      <xdr:rowOff>98241</xdr:rowOff>
    </xdr:to>
    <xdr:sp macro="" textlink="">
      <xdr:nvSpPr>
        <xdr:cNvPr id="18" name="17 Rectángulo">
          <a:extLst>
            <a:ext uri="{FF2B5EF4-FFF2-40B4-BE49-F238E27FC236}">
              <a16:creationId xmlns:a16="http://schemas.microsoft.com/office/drawing/2014/main" id="{00000000-0008-0000-0D00-000012000000}"/>
            </a:ext>
          </a:extLst>
        </xdr:cNvPr>
        <xdr:cNvSpPr/>
      </xdr:nvSpPr>
      <xdr:spPr bwMode="auto">
        <a:xfrm>
          <a:off x="8395855" y="14819326"/>
          <a:ext cx="1118439" cy="438307"/>
        </a:xfrm>
        <a:prstGeom prst="rect">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upright="1"/>
        <a:lstStyle/>
        <a:p>
          <a:pPr algn="ctr"/>
          <a:r>
            <a:rPr lang="es-ES" sz="1100" b="1">
              <a:solidFill>
                <a:srgbClr val="990000"/>
              </a:solidFill>
            </a:rPr>
            <a:t>Importe total de la factura</a:t>
          </a:r>
        </a:p>
      </xdr:txBody>
    </xdr:sp>
    <xdr:clientData/>
  </xdr:twoCellAnchor>
  <xdr:twoCellAnchor editAs="oneCell">
    <xdr:from>
      <xdr:col>1</xdr:col>
      <xdr:colOff>0</xdr:colOff>
      <xdr:row>101</xdr:row>
      <xdr:rowOff>0</xdr:rowOff>
    </xdr:from>
    <xdr:to>
      <xdr:col>11</xdr:col>
      <xdr:colOff>586930</xdr:colOff>
      <xdr:row>122</xdr:row>
      <xdr:rowOff>65494</xdr:rowOff>
    </xdr:to>
    <xdr:pic>
      <xdr:nvPicPr>
        <xdr:cNvPr id="19" name="18 Imagen">
          <a:extLst>
            <a:ext uri="{FF2B5EF4-FFF2-40B4-BE49-F238E27FC236}">
              <a16:creationId xmlns:a16="http://schemas.microsoft.com/office/drawing/2014/main" id="{00000000-0008-0000-0D00-000013000000}"/>
            </a:ext>
          </a:extLst>
        </xdr:cNvPr>
        <xdr:cNvPicPr>
          <a:picLocks noChangeAspect="1"/>
        </xdr:cNvPicPr>
      </xdr:nvPicPr>
      <xdr:blipFill rotWithShape="1">
        <a:blip xmlns:r="http://schemas.openxmlformats.org/officeDocument/2006/relationships" r:embed="rId3"/>
        <a:srcRect l="8723" t="46069" r="32568" b="10369"/>
        <a:stretch/>
      </xdr:blipFill>
      <xdr:spPr>
        <a:xfrm>
          <a:off x="846387" y="15990664"/>
          <a:ext cx="8506692" cy="3556840"/>
        </a:xfrm>
        <a:prstGeom prst="rect">
          <a:avLst/>
        </a:prstGeom>
      </xdr:spPr>
    </xdr:pic>
    <xdr:clientData/>
  </xdr:twoCellAnchor>
  <xdr:twoCellAnchor editAs="oneCell">
    <xdr:from>
      <xdr:col>1</xdr:col>
      <xdr:colOff>0</xdr:colOff>
      <xdr:row>123</xdr:row>
      <xdr:rowOff>0</xdr:rowOff>
    </xdr:from>
    <xdr:to>
      <xdr:col>11</xdr:col>
      <xdr:colOff>662500</xdr:colOff>
      <xdr:row>156</xdr:row>
      <xdr:rowOff>128469</xdr:rowOff>
    </xdr:to>
    <xdr:pic>
      <xdr:nvPicPr>
        <xdr:cNvPr id="20" name="19 Imagen">
          <a:extLst>
            <a:ext uri="{FF2B5EF4-FFF2-40B4-BE49-F238E27FC236}">
              <a16:creationId xmlns:a16="http://schemas.microsoft.com/office/drawing/2014/main" id="{00000000-0008-0000-0D00-000014000000}"/>
            </a:ext>
          </a:extLst>
        </xdr:cNvPr>
        <xdr:cNvPicPr>
          <a:picLocks noChangeAspect="1"/>
        </xdr:cNvPicPr>
      </xdr:nvPicPr>
      <xdr:blipFill rotWithShape="1">
        <a:blip xmlns:r="http://schemas.openxmlformats.org/officeDocument/2006/relationships" r:embed="rId4"/>
        <a:srcRect l="8855" t="18211" r="32201" b="14039"/>
        <a:stretch/>
      </xdr:blipFill>
      <xdr:spPr>
        <a:xfrm>
          <a:off x="846387" y="19648264"/>
          <a:ext cx="8582262" cy="5614869"/>
        </a:xfrm>
        <a:prstGeom prst="rect">
          <a:avLst/>
        </a:prstGeom>
      </xdr:spPr>
    </xdr:pic>
    <xdr:clientData/>
  </xdr:twoCellAnchor>
  <xdr:twoCellAnchor editAs="oneCell">
    <xdr:from>
      <xdr:col>1</xdr:col>
      <xdr:colOff>0</xdr:colOff>
      <xdr:row>158</xdr:row>
      <xdr:rowOff>0</xdr:rowOff>
    </xdr:from>
    <xdr:to>
      <xdr:col>11</xdr:col>
      <xdr:colOff>780614</xdr:colOff>
      <xdr:row>196</xdr:row>
      <xdr:rowOff>50382</xdr:rowOff>
    </xdr:to>
    <xdr:pic>
      <xdr:nvPicPr>
        <xdr:cNvPr id="22" name="21 Imagen">
          <a:extLst>
            <a:ext uri="{FF2B5EF4-FFF2-40B4-BE49-F238E27FC236}">
              <a16:creationId xmlns:a16="http://schemas.microsoft.com/office/drawing/2014/main" id="{00000000-0008-0000-0D00-000016000000}"/>
            </a:ext>
          </a:extLst>
        </xdr:cNvPr>
        <xdr:cNvPicPr>
          <a:picLocks noChangeAspect="1"/>
        </xdr:cNvPicPr>
      </xdr:nvPicPr>
      <xdr:blipFill rotWithShape="1">
        <a:blip xmlns:r="http://schemas.openxmlformats.org/officeDocument/2006/relationships" r:embed="rId5"/>
        <a:srcRect l="8334" t="18519" r="32549" b="5552"/>
        <a:stretch/>
      </xdr:blipFill>
      <xdr:spPr>
        <a:xfrm>
          <a:off x="846387" y="25467174"/>
          <a:ext cx="8700376" cy="6368054"/>
        </a:xfrm>
        <a:prstGeom prst="rect">
          <a:avLst/>
        </a:prstGeom>
      </xdr:spPr>
    </xdr:pic>
    <xdr:clientData/>
  </xdr:twoCellAnchor>
  <xdr:twoCellAnchor editAs="oneCell">
    <xdr:from>
      <xdr:col>1</xdr:col>
      <xdr:colOff>30228</xdr:colOff>
      <xdr:row>193</xdr:row>
      <xdr:rowOff>45342</xdr:rowOff>
    </xdr:from>
    <xdr:to>
      <xdr:col>11</xdr:col>
      <xdr:colOff>717918</xdr:colOff>
      <xdr:row>197</xdr:row>
      <xdr:rowOff>70533</xdr:rowOff>
    </xdr:to>
    <xdr:pic>
      <xdr:nvPicPr>
        <xdr:cNvPr id="23" name="22 Imagen">
          <a:extLst>
            <a:ext uri="{FF2B5EF4-FFF2-40B4-BE49-F238E27FC236}">
              <a16:creationId xmlns:a16="http://schemas.microsoft.com/office/drawing/2014/main" id="{00000000-0008-0000-0D00-000017000000}"/>
            </a:ext>
          </a:extLst>
        </xdr:cNvPr>
        <xdr:cNvPicPr>
          <a:picLocks noChangeAspect="1"/>
        </xdr:cNvPicPr>
      </xdr:nvPicPr>
      <xdr:blipFill rotWithShape="1">
        <a:blip xmlns:r="http://schemas.openxmlformats.org/officeDocument/2006/relationships" r:embed="rId6"/>
        <a:srcRect l="8681" t="14507" r="32202" b="77160"/>
        <a:stretch/>
      </xdr:blipFill>
      <xdr:spPr>
        <a:xfrm>
          <a:off x="876615" y="31331425"/>
          <a:ext cx="8607452" cy="690209"/>
        </a:xfrm>
        <a:prstGeom prst="rect">
          <a:avLst/>
        </a:prstGeom>
      </xdr:spPr>
    </xdr:pic>
    <xdr:clientData/>
  </xdr:twoCellAnchor>
  <xdr:twoCellAnchor>
    <xdr:from>
      <xdr:col>1</xdr:col>
      <xdr:colOff>90684</xdr:colOff>
      <xdr:row>105</xdr:row>
      <xdr:rowOff>128469</xdr:rowOff>
    </xdr:from>
    <xdr:to>
      <xdr:col>2</xdr:col>
      <xdr:colOff>597005</xdr:colOff>
      <xdr:row>107</xdr:row>
      <xdr:rowOff>7557</xdr:rowOff>
    </xdr:to>
    <xdr:sp macro="" textlink="">
      <xdr:nvSpPr>
        <xdr:cNvPr id="24" name="23 Rectángulo">
          <a:extLst>
            <a:ext uri="{FF2B5EF4-FFF2-40B4-BE49-F238E27FC236}">
              <a16:creationId xmlns:a16="http://schemas.microsoft.com/office/drawing/2014/main" id="{00000000-0008-0000-0D00-000018000000}"/>
            </a:ext>
          </a:extLst>
        </xdr:cNvPr>
        <xdr:cNvSpPr/>
      </xdr:nvSpPr>
      <xdr:spPr bwMode="auto">
        <a:xfrm>
          <a:off x="937071" y="16784152"/>
          <a:ext cx="1292251" cy="21159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68013</xdr:colOff>
      <xdr:row>108</xdr:row>
      <xdr:rowOff>143584</xdr:rowOff>
    </xdr:from>
    <xdr:to>
      <xdr:col>3</xdr:col>
      <xdr:colOff>188926</xdr:colOff>
      <xdr:row>115</xdr:row>
      <xdr:rowOff>98242</xdr:rowOff>
    </xdr:to>
    <xdr:sp macro="" textlink="">
      <xdr:nvSpPr>
        <xdr:cNvPr id="25" name="24 Rectángulo">
          <a:extLst>
            <a:ext uri="{FF2B5EF4-FFF2-40B4-BE49-F238E27FC236}">
              <a16:creationId xmlns:a16="http://schemas.microsoft.com/office/drawing/2014/main" id="{00000000-0008-0000-0D00-000019000000}"/>
            </a:ext>
          </a:extLst>
        </xdr:cNvPr>
        <xdr:cNvSpPr/>
      </xdr:nvSpPr>
      <xdr:spPr bwMode="auto">
        <a:xfrm>
          <a:off x="914400" y="17298030"/>
          <a:ext cx="1692774" cy="111844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endParaRPr lang="es-ES" sz="1100">
            <a:solidFill>
              <a:srgbClr val="990000"/>
            </a:solidFill>
          </a:endParaRPr>
        </a:p>
      </xdr:txBody>
    </xdr:sp>
    <xdr:clientData/>
  </xdr:twoCellAnchor>
  <xdr:twoCellAnchor>
    <xdr:from>
      <xdr:col>1</xdr:col>
      <xdr:colOff>120912</xdr:colOff>
      <xdr:row>133</xdr:row>
      <xdr:rowOff>0</xdr:rowOff>
    </xdr:from>
    <xdr:to>
      <xdr:col>3</xdr:col>
      <xdr:colOff>143583</xdr:colOff>
      <xdr:row>138</xdr:row>
      <xdr:rowOff>105798</xdr:rowOff>
    </xdr:to>
    <xdr:sp macro="" textlink="">
      <xdr:nvSpPr>
        <xdr:cNvPr id="26" name="25 Rectángulo">
          <a:extLst>
            <a:ext uri="{FF2B5EF4-FFF2-40B4-BE49-F238E27FC236}">
              <a16:creationId xmlns:a16="http://schemas.microsoft.com/office/drawing/2014/main" id="{00000000-0008-0000-0D00-00001A000000}"/>
            </a:ext>
          </a:extLst>
        </xdr:cNvPr>
        <xdr:cNvSpPr/>
      </xdr:nvSpPr>
      <xdr:spPr bwMode="auto">
        <a:xfrm>
          <a:off x="967299" y="21310810"/>
          <a:ext cx="1594532" cy="9370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90684</xdr:colOff>
      <xdr:row>140</xdr:row>
      <xdr:rowOff>128469</xdr:rowOff>
    </xdr:from>
    <xdr:to>
      <xdr:col>3</xdr:col>
      <xdr:colOff>188926</xdr:colOff>
      <xdr:row>146</xdr:row>
      <xdr:rowOff>45342</xdr:rowOff>
    </xdr:to>
    <xdr:sp macro="" textlink="">
      <xdr:nvSpPr>
        <xdr:cNvPr id="27" name="26 Rectángulo">
          <a:extLst>
            <a:ext uri="{FF2B5EF4-FFF2-40B4-BE49-F238E27FC236}">
              <a16:creationId xmlns:a16="http://schemas.microsoft.com/office/drawing/2014/main" id="{00000000-0008-0000-0D00-00001B000000}"/>
            </a:ext>
          </a:extLst>
        </xdr:cNvPr>
        <xdr:cNvSpPr/>
      </xdr:nvSpPr>
      <xdr:spPr bwMode="auto">
        <a:xfrm>
          <a:off x="937071" y="22603061"/>
          <a:ext cx="1670103" cy="9144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98241</xdr:colOff>
      <xdr:row>149</xdr:row>
      <xdr:rowOff>22671</xdr:rowOff>
    </xdr:from>
    <xdr:to>
      <xdr:col>3</xdr:col>
      <xdr:colOff>128469</xdr:colOff>
      <xdr:row>152</xdr:row>
      <xdr:rowOff>143584</xdr:rowOff>
    </xdr:to>
    <xdr:sp macro="" textlink="">
      <xdr:nvSpPr>
        <xdr:cNvPr id="28" name="27 Rectángulo">
          <a:extLst>
            <a:ext uri="{FF2B5EF4-FFF2-40B4-BE49-F238E27FC236}">
              <a16:creationId xmlns:a16="http://schemas.microsoft.com/office/drawing/2014/main" id="{00000000-0008-0000-0D00-00001C000000}"/>
            </a:ext>
          </a:extLst>
        </xdr:cNvPr>
        <xdr:cNvSpPr/>
      </xdr:nvSpPr>
      <xdr:spPr bwMode="auto">
        <a:xfrm>
          <a:off x="944628" y="23993554"/>
          <a:ext cx="1602089" cy="61967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113355</xdr:colOff>
      <xdr:row>146</xdr:row>
      <xdr:rowOff>83126</xdr:rowOff>
    </xdr:from>
    <xdr:to>
      <xdr:col>2</xdr:col>
      <xdr:colOff>763260</xdr:colOff>
      <xdr:row>147</xdr:row>
      <xdr:rowOff>143582</xdr:rowOff>
    </xdr:to>
    <xdr:sp macro="" textlink="">
      <xdr:nvSpPr>
        <xdr:cNvPr id="29" name="28 Rectángulo">
          <a:extLst>
            <a:ext uri="{FF2B5EF4-FFF2-40B4-BE49-F238E27FC236}">
              <a16:creationId xmlns:a16="http://schemas.microsoft.com/office/drawing/2014/main" id="{00000000-0008-0000-0D00-00001D000000}"/>
            </a:ext>
          </a:extLst>
        </xdr:cNvPr>
        <xdr:cNvSpPr/>
      </xdr:nvSpPr>
      <xdr:spPr bwMode="auto">
        <a:xfrm>
          <a:off x="959742" y="23555245"/>
          <a:ext cx="1435835" cy="22671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166254</xdr:colOff>
      <xdr:row>158</xdr:row>
      <xdr:rowOff>60455</xdr:rowOff>
    </xdr:from>
    <xdr:to>
      <xdr:col>2</xdr:col>
      <xdr:colOff>748146</xdr:colOff>
      <xdr:row>159</xdr:row>
      <xdr:rowOff>22670</xdr:rowOff>
    </xdr:to>
    <xdr:sp macro="" textlink="">
      <xdr:nvSpPr>
        <xdr:cNvPr id="30" name="29 Rectángulo">
          <a:extLst>
            <a:ext uri="{FF2B5EF4-FFF2-40B4-BE49-F238E27FC236}">
              <a16:creationId xmlns:a16="http://schemas.microsoft.com/office/drawing/2014/main" id="{00000000-0008-0000-0D00-00001E000000}"/>
            </a:ext>
          </a:extLst>
        </xdr:cNvPr>
        <xdr:cNvSpPr/>
      </xdr:nvSpPr>
      <xdr:spPr bwMode="auto">
        <a:xfrm>
          <a:off x="1012641" y="25527629"/>
          <a:ext cx="1367822" cy="128469"/>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143583</xdr:colOff>
      <xdr:row>160</xdr:row>
      <xdr:rowOff>143583</xdr:rowOff>
    </xdr:from>
    <xdr:to>
      <xdr:col>3</xdr:col>
      <xdr:colOff>340066</xdr:colOff>
      <xdr:row>165</xdr:row>
      <xdr:rowOff>60457</xdr:rowOff>
    </xdr:to>
    <xdr:sp macro="" textlink="">
      <xdr:nvSpPr>
        <xdr:cNvPr id="31" name="30 Rectángulo">
          <a:extLst>
            <a:ext uri="{FF2B5EF4-FFF2-40B4-BE49-F238E27FC236}">
              <a16:creationId xmlns:a16="http://schemas.microsoft.com/office/drawing/2014/main" id="{00000000-0008-0000-0D00-00001F000000}"/>
            </a:ext>
          </a:extLst>
        </xdr:cNvPr>
        <xdr:cNvSpPr/>
      </xdr:nvSpPr>
      <xdr:spPr bwMode="auto">
        <a:xfrm>
          <a:off x="989970" y="25943266"/>
          <a:ext cx="1768344" cy="74814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234268</xdr:colOff>
      <xdr:row>158</xdr:row>
      <xdr:rowOff>158697</xdr:rowOff>
    </xdr:from>
    <xdr:to>
      <xdr:col>2</xdr:col>
      <xdr:colOff>377852</xdr:colOff>
      <xdr:row>159</xdr:row>
      <xdr:rowOff>98241</xdr:rowOff>
    </xdr:to>
    <xdr:sp macro="" textlink="">
      <xdr:nvSpPr>
        <xdr:cNvPr id="32" name="31 Rectángulo">
          <a:extLst>
            <a:ext uri="{FF2B5EF4-FFF2-40B4-BE49-F238E27FC236}">
              <a16:creationId xmlns:a16="http://schemas.microsoft.com/office/drawing/2014/main" id="{00000000-0008-0000-0D00-000020000000}"/>
            </a:ext>
          </a:extLst>
        </xdr:cNvPr>
        <xdr:cNvSpPr/>
      </xdr:nvSpPr>
      <xdr:spPr bwMode="auto">
        <a:xfrm>
          <a:off x="1080655" y="25625871"/>
          <a:ext cx="929514" cy="10579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xdr:from>
      <xdr:col>1</xdr:col>
      <xdr:colOff>173811</xdr:colOff>
      <xdr:row>168</xdr:row>
      <xdr:rowOff>128469</xdr:rowOff>
    </xdr:from>
    <xdr:to>
      <xdr:col>3</xdr:col>
      <xdr:colOff>249382</xdr:colOff>
      <xdr:row>170</xdr:row>
      <xdr:rowOff>128470</xdr:rowOff>
    </xdr:to>
    <xdr:sp macro="" textlink="">
      <xdr:nvSpPr>
        <xdr:cNvPr id="33" name="32 Rectángulo">
          <a:extLst>
            <a:ext uri="{FF2B5EF4-FFF2-40B4-BE49-F238E27FC236}">
              <a16:creationId xmlns:a16="http://schemas.microsoft.com/office/drawing/2014/main" id="{00000000-0008-0000-0D00-000021000000}"/>
            </a:ext>
          </a:extLst>
        </xdr:cNvPr>
        <xdr:cNvSpPr/>
      </xdr:nvSpPr>
      <xdr:spPr bwMode="auto">
        <a:xfrm>
          <a:off x="1020198" y="27258188"/>
          <a:ext cx="1647432" cy="33251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twoCellAnchor editAs="oneCell">
    <xdr:from>
      <xdr:col>1</xdr:col>
      <xdr:colOff>104550</xdr:colOff>
      <xdr:row>50</xdr:row>
      <xdr:rowOff>75126</xdr:rowOff>
    </xdr:from>
    <xdr:to>
      <xdr:col>10</xdr:col>
      <xdr:colOff>22671</xdr:colOff>
      <xdr:row>66</xdr:row>
      <xdr:rowOff>158698</xdr:rowOff>
    </xdr:to>
    <xdr:pic>
      <xdr:nvPicPr>
        <xdr:cNvPr id="34" name="33 Imagen">
          <a:extLst>
            <a:ext uri="{FF2B5EF4-FFF2-40B4-BE49-F238E27FC236}">
              <a16:creationId xmlns:a16="http://schemas.microsoft.com/office/drawing/2014/main" id="{00000000-0008-0000-0D00-000022000000}"/>
            </a:ext>
          </a:extLst>
        </xdr:cNvPr>
        <xdr:cNvPicPr/>
      </xdr:nvPicPr>
      <xdr:blipFill rotWithShape="1">
        <a:blip xmlns:r="http://schemas.openxmlformats.org/officeDocument/2006/relationships" r:embed="rId7"/>
        <a:srcRect l="1484" t="24701" r="31885" b="39328"/>
        <a:stretch/>
      </xdr:blipFill>
      <xdr:spPr bwMode="auto">
        <a:xfrm>
          <a:off x="950937" y="7586809"/>
          <a:ext cx="7051952" cy="274364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294724</xdr:colOff>
      <xdr:row>197</xdr:row>
      <xdr:rowOff>30172</xdr:rowOff>
    </xdr:from>
    <xdr:to>
      <xdr:col>11</xdr:col>
      <xdr:colOff>365330</xdr:colOff>
      <xdr:row>216</xdr:row>
      <xdr:rowOff>7558</xdr:rowOff>
    </xdr:to>
    <xdr:pic>
      <xdr:nvPicPr>
        <xdr:cNvPr id="35" name="34 Imagen">
          <a:extLst>
            <a:ext uri="{FF2B5EF4-FFF2-40B4-BE49-F238E27FC236}">
              <a16:creationId xmlns:a16="http://schemas.microsoft.com/office/drawing/2014/main" id="{00000000-0008-0000-0D00-000023000000}"/>
            </a:ext>
          </a:extLst>
        </xdr:cNvPr>
        <xdr:cNvPicPr/>
      </xdr:nvPicPr>
      <xdr:blipFill rotWithShape="1">
        <a:blip xmlns:r="http://schemas.openxmlformats.org/officeDocument/2006/relationships" r:embed="rId8"/>
        <a:srcRect l="1620" t="34772" r="31579" b="28518"/>
        <a:stretch/>
      </xdr:blipFill>
      <xdr:spPr bwMode="auto">
        <a:xfrm>
          <a:off x="1927041" y="31981273"/>
          <a:ext cx="7204438" cy="313622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investigacion.us.es/area-investigacion/procedimientos/instrucciones/ministerio" TargetMode="External"/><Relationship Id="rId3" Type="http://schemas.openxmlformats.org/officeDocument/2006/relationships/hyperlink" Target="https://investigacion.us.es/docs/area/excel_viajes_y_dietas.xls" TargetMode="External"/><Relationship Id="rId7" Type="http://schemas.openxmlformats.org/officeDocument/2006/relationships/hyperlink" Target="https://investigacion.us.es/docs/area/instrucciones_de_ejecucion_y_justificacion_2016_excelencia.pdf" TargetMode="External"/><Relationship Id="rId2" Type="http://schemas.openxmlformats.org/officeDocument/2006/relationships/hyperlink" Target="https://investigacion.us.es/docs/area/rd4622002indemnizacionporrazonservicio1.pdf" TargetMode="External"/><Relationship Id="rId1" Type="http://schemas.openxmlformats.org/officeDocument/2006/relationships/hyperlink" Target="http://investigacion.us.es/docs/area/decreto_54_1989.pdf" TargetMode="External"/><Relationship Id="rId6" Type="http://schemas.openxmlformats.org/officeDocument/2006/relationships/hyperlink" Target="https://investigacion.us.es/docs/area/instrucciones_justificacion_economica_europa_investigacion_2017.pdf" TargetMode="External"/><Relationship Id="rId5" Type="http://schemas.openxmlformats.org/officeDocument/2006/relationships/hyperlink" Target="https://www.oanda.com/lang/es/currency/converter/" TargetMode="External"/><Relationship Id="rId10" Type="http://schemas.openxmlformats.org/officeDocument/2006/relationships/drawing" Target="../drawings/drawing1.xml"/><Relationship Id="rId4" Type="http://schemas.openxmlformats.org/officeDocument/2006/relationships/hyperlink" Target="http://www.boe.es/diario_bo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investigacion.us.es/docs/area/solicitud_de_transferencia_al_exterior.doc" TargetMode="External"/><Relationship Id="rId7" Type="http://schemas.openxmlformats.org/officeDocument/2006/relationships/drawing" Target="../drawings/drawing8.xml"/><Relationship Id="rId2" Type="http://schemas.openxmlformats.org/officeDocument/2006/relationships/hyperlink" Target="https://investigacion.us.es/docs/area/solicitud_de_transferencia_al_exterior.doc" TargetMode="External"/><Relationship Id="rId1" Type="http://schemas.openxmlformats.org/officeDocument/2006/relationships/hyperlink" Target="https://investigacion.us.es/docs/area/declaracion_de_compatibilidad_art_19_ley_53_1984.doc" TargetMode="External"/><Relationship Id="rId6" Type="http://schemas.openxmlformats.org/officeDocument/2006/relationships/printerSettings" Target="../printerSettings/printerSettings10.bin"/><Relationship Id="rId5" Type="http://schemas.openxmlformats.org/officeDocument/2006/relationships/hyperlink" Target="https://investigacion.us.es/docs/area/solicitud_alta_terceros_con_dni_pasaporte.docx" TargetMode="External"/><Relationship Id="rId4" Type="http://schemas.openxmlformats.org/officeDocument/2006/relationships/hyperlink" Target="https://investigacion.us.es/docs/area/documentacion_necesaria_para_alta_de_terceros.docx" TargetMode="External"/><Relationship Id="rId9"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agenciatributaria.es/AEAT.internet/Inicio/La_Agencia_Tributaria/Normativa/Fiscalidad_Internacional/Convenios_de_doble_imposicion_firmados_por_Espana/Convenios_de_doble_imposicion_firmados_por_Espana.shtml" TargetMode="External"/><Relationship Id="rId2" Type="http://schemas.openxmlformats.org/officeDocument/2006/relationships/hyperlink" Target="https://www.agenciatributaria.es/AEAT.internet/Inicio/La_Agencia_Tributaria/Normativa/Fiscalidad_Internacional/Convenios_de_doble_imposicion_firmados_por_Espana/Convenios_de_doble_imposicion_firmados_por_Espana.shtml" TargetMode="External"/><Relationship Id="rId1" Type="http://schemas.openxmlformats.org/officeDocument/2006/relationships/hyperlink" Target="http://www.boe.es/boe/dias/2014/11/28/pdfs/BOE-A-2014-12327.pdf" TargetMode="External"/><Relationship Id="rId5" Type="http://schemas.openxmlformats.org/officeDocument/2006/relationships/printerSettings" Target="../printerSettings/printerSettings12.bin"/><Relationship Id="rId4" Type="http://schemas.openxmlformats.org/officeDocument/2006/relationships/hyperlink" Target="https://bit.ly/2OauxKK"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vestigacion.us.es/area-investigacion/procedimientos/instrucciones/ministeri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investigacion.us.es/area-investigacion/procedimientos/instrucciones/ministeri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000099"/>
  </sheetPr>
  <dimension ref="A2:Q51"/>
  <sheetViews>
    <sheetView showGridLines="0" tabSelected="1" zoomScaleNormal="100" workbookViewId="0">
      <selection activeCell="C8" sqref="C8:G9"/>
    </sheetView>
  </sheetViews>
  <sheetFormatPr baseColWidth="10" defaultColWidth="11.5546875" defaultRowHeight="13.2" x14ac:dyDescent="0.25"/>
  <cols>
    <col min="1" max="1" width="11.5546875" style="653"/>
    <col min="2" max="2" width="11.44140625" style="653" customWidth="1"/>
    <col min="3" max="10" width="11.5546875" style="653"/>
    <col min="11" max="11" width="12.44140625" style="653" customWidth="1"/>
    <col min="12" max="12" width="13.109375" style="653" customWidth="1"/>
    <col min="13" max="13" width="15.6640625" style="653" customWidth="1"/>
    <col min="14" max="16384" width="11.5546875" style="653"/>
  </cols>
  <sheetData>
    <row r="2" spans="1:17" x14ac:dyDescent="0.25">
      <c r="A2" s="915" t="s">
        <v>323</v>
      </c>
      <c r="B2" s="915"/>
      <c r="C2" s="915"/>
      <c r="D2" s="915"/>
      <c r="E2" s="915"/>
      <c r="F2" s="915"/>
      <c r="G2" s="915"/>
      <c r="H2" s="915"/>
      <c r="I2" s="915"/>
      <c r="J2" s="915"/>
      <c r="K2" s="915"/>
      <c r="L2" s="915"/>
    </row>
    <row r="3" spans="1:17" ht="13.8" x14ac:dyDescent="0.25">
      <c r="C3" s="88"/>
    </row>
    <row r="4" spans="1:17" ht="13.8" x14ac:dyDescent="0.25">
      <c r="C4" s="654" t="s">
        <v>424</v>
      </c>
      <c r="D4" s="654"/>
      <c r="E4" s="654"/>
      <c r="F4" s="654"/>
      <c r="G4" s="654"/>
      <c r="H4" s="654"/>
      <c r="I4" s="654"/>
      <c r="J4" s="654"/>
    </row>
    <row r="5" spans="1:17" ht="13.8" x14ac:dyDescent="0.25">
      <c r="C5" s="88"/>
    </row>
    <row r="6" spans="1:17" ht="13.8" x14ac:dyDescent="0.25">
      <c r="C6" s="917" t="s">
        <v>427</v>
      </c>
      <c r="D6" s="917"/>
      <c r="E6" s="917"/>
      <c r="F6" s="917"/>
      <c r="G6" s="917"/>
      <c r="H6" s="917"/>
      <c r="I6" s="917"/>
      <c r="J6" s="917"/>
      <c r="L6"/>
      <c r="M6"/>
    </row>
    <row r="7" spans="1:17" ht="15.6" thickBot="1" x14ac:dyDescent="0.3">
      <c r="C7" s="511"/>
    </row>
    <row r="8" spans="1:17" ht="15.6" thickTop="1" x14ac:dyDescent="0.25">
      <c r="C8" s="908" t="s">
        <v>509</v>
      </c>
      <c r="D8" s="909"/>
      <c r="E8" s="909"/>
      <c r="F8" s="909"/>
      <c r="G8" s="910"/>
      <c r="H8" s="655"/>
      <c r="I8" s="908" t="s">
        <v>640</v>
      </c>
      <c r="J8" s="909"/>
      <c r="K8" s="909"/>
      <c r="L8" s="909"/>
      <c r="M8" s="910"/>
      <c r="N8" s="875"/>
      <c r="O8" s="875"/>
      <c r="P8" s="875"/>
      <c r="Q8" s="875"/>
    </row>
    <row r="9" spans="1:17" ht="14.85" customHeight="1" thickBot="1" x14ac:dyDescent="0.3">
      <c r="C9" s="911"/>
      <c r="D9" s="912"/>
      <c r="E9" s="912"/>
      <c r="F9" s="912"/>
      <c r="G9" s="913"/>
      <c r="I9" s="911"/>
      <c r="J9" s="912"/>
      <c r="K9" s="912"/>
      <c r="L9" s="912"/>
      <c r="M9" s="913"/>
    </row>
    <row r="10" spans="1:17" ht="13.8" thickTop="1" x14ac:dyDescent="0.25">
      <c r="G10"/>
      <c r="H10"/>
      <c r="I10"/>
      <c r="J10"/>
      <c r="K10"/>
    </row>
    <row r="11" spans="1:17" x14ac:dyDescent="0.25">
      <c r="C11" s="918" t="s">
        <v>254</v>
      </c>
      <c r="D11" s="918"/>
      <c r="G11"/>
      <c r="H11"/>
      <c r="I11"/>
      <c r="J11"/>
      <c r="K11"/>
    </row>
    <row r="12" spans="1:17" x14ac:dyDescent="0.25">
      <c r="G12"/>
      <c r="H12"/>
      <c r="I12"/>
      <c r="J12"/>
      <c r="K12"/>
    </row>
    <row r="13" spans="1:17" x14ac:dyDescent="0.25">
      <c r="C13" s="906" t="s">
        <v>414</v>
      </c>
      <c r="D13" s="906"/>
      <c r="G13"/>
      <c r="H13"/>
      <c r="I13"/>
      <c r="J13"/>
      <c r="K13"/>
    </row>
    <row r="14" spans="1:17" x14ac:dyDescent="0.25">
      <c r="G14"/>
      <c r="H14"/>
      <c r="I14"/>
      <c r="J14"/>
      <c r="K14"/>
    </row>
    <row r="15" spans="1:17" x14ac:dyDescent="0.25">
      <c r="C15" s="916" t="s">
        <v>306</v>
      </c>
      <c r="D15" s="916"/>
    </row>
    <row r="17" spans="3:15" x14ac:dyDescent="0.25">
      <c r="C17" s="906" t="s">
        <v>409</v>
      </c>
      <c r="D17" s="906"/>
      <c r="E17" s="906"/>
    </row>
    <row r="19" spans="3:15" hidden="1" x14ac:dyDescent="0.25">
      <c r="C19" s="656" t="s">
        <v>307</v>
      </c>
      <c r="D19" s="656" t="s">
        <v>308</v>
      </c>
      <c r="E19" s="45"/>
    </row>
    <row r="20" spans="3:15" hidden="1" x14ac:dyDescent="0.25"/>
    <row r="21" spans="3:15" hidden="1" x14ac:dyDescent="0.25">
      <c r="C21" s="919" t="s">
        <v>319</v>
      </c>
      <c r="D21" s="919"/>
    </row>
    <row r="22" spans="3:15" hidden="1" x14ac:dyDescent="0.25"/>
    <row r="23" spans="3:15" hidden="1" x14ac:dyDescent="0.25">
      <c r="C23" s="920" t="s">
        <v>321</v>
      </c>
      <c r="D23" s="919"/>
    </row>
    <row r="24" spans="3:15" x14ac:dyDescent="0.25">
      <c r="C24" s="918" t="s">
        <v>420</v>
      </c>
      <c r="D24" s="918"/>
      <c r="E24" s="918"/>
      <c r="F24" s="918"/>
      <c r="G24" s="914" t="s">
        <v>505</v>
      </c>
      <c r="H24" s="914"/>
      <c r="I24" s="914"/>
      <c r="J24" s="914"/>
      <c r="K24" s="914"/>
      <c r="L24" s="914"/>
      <c r="M24" s="914"/>
      <c r="N24" s="914" t="s">
        <v>506</v>
      </c>
      <c r="O24" s="914"/>
    </row>
    <row r="26" spans="3:15" x14ac:dyDescent="0.25">
      <c r="C26" s="906" t="s">
        <v>336</v>
      </c>
      <c r="D26" s="906"/>
      <c r="F26" s="907"/>
      <c r="G26" s="907"/>
      <c r="H26" s="907"/>
      <c r="I26" s="907"/>
      <c r="J26" s="907"/>
    </row>
    <row r="28" spans="3:15" ht="13.8" x14ac:dyDescent="0.25">
      <c r="C28" s="9" t="s">
        <v>426</v>
      </c>
    </row>
    <row r="29" spans="3:15" ht="13.8" x14ac:dyDescent="0.25">
      <c r="C29" s="9" t="s">
        <v>425</v>
      </c>
    </row>
    <row r="31" spans="3:15" x14ac:dyDescent="0.25">
      <c r="D31" s="379" t="s">
        <v>403</v>
      </c>
    </row>
    <row r="32" spans="3:15" x14ac:dyDescent="0.25">
      <c r="D32" s="379" t="s">
        <v>404</v>
      </c>
    </row>
    <row r="34" spans="2:9" x14ac:dyDescent="0.25">
      <c r="E34" s="904" t="s">
        <v>405</v>
      </c>
      <c r="F34" s="905"/>
      <c r="G34" s="905"/>
      <c r="H34" s="905"/>
      <c r="I34" s="905"/>
    </row>
    <row r="36" spans="2:9" x14ac:dyDescent="0.25">
      <c r="D36" s="379" t="s">
        <v>406</v>
      </c>
    </row>
    <row r="38" spans="2:9" x14ac:dyDescent="0.25">
      <c r="D38" s="379" t="s">
        <v>407</v>
      </c>
    </row>
    <row r="40" spans="2:9" x14ac:dyDescent="0.25">
      <c r="D40" s="906" t="s">
        <v>410</v>
      </c>
      <c r="E40" s="906"/>
      <c r="F40" s="906"/>
      <c r="G40" s="906"/>
      <c r="H40" s="906"/>
    </row>
    <row r="42" spans="2:9" x14ac:dyDescent="0.25">
      <c r="D42" s="379" t="s">
        <v>411</v>
      </c>
    </row>
    <row r="44" spans="2:9" x14ac:dyDescent="0.25">
      <c r="E44" s="906" t="s">
        <v>408</v>
      </c>
      <c r="F44" s="906"/>
      <c r="G44" s="906"/>
    </row>
    <row r="46" spans="2:9" x14ac:dyDescent="0.25">
      <c r="B46" s="861"/>
      <c r="C46" s="861"/>
      <c r="D46" s="861"/>
      <c r="E46" s="861"/>
    </row>
    <row r="47" spans="2:9" x14ac:dyDescent="0.25">
      <c r="B47" s="861"/>
      <c r="C47" s="861"/>
      <c r="D47" s="861"/>
      <c r="E47" s="861"/>
    </row>
    <row r="49" spans="3:4" x14ac:dyDescent="0.25">
      <c r="C49" s="667" t="s">
        <v>307</v>
      </c>
      <c r="D49" s="658" t="s">
        <v>412</v>
      </c>
    </row>
    <row r="51" spans="3:4" x14ac:dyDescent="0.25">
      <c r="C51" s="667" t="s">
        <v>308</v>
      </c>
      <c r="D51" s="379" t="s">
        <v>413</v>
      </c>
    </row>
  </sheetData>
  <sheetProtection algorithmName="SHA-512" hashValue="2MEsYBlqzLJj1W5dbGTVo6cXefQYN1gul9QVYpIdVLdSywNij4pRWDqc2MVUHCTF9yGqKnMJf6QSxbPztuE60w==" saltValue="uRc2TVAevY/JGP47pz9vHA==" spinCount="100000" sheet="1" objects="1" scenarios="1" selectLockedCells="1"/>
  <mergeCells count="18">
    <mergeCell ref="I8:M9"/>
    <mergeCell ref="N24:O24"/>
    <mergeCell ref="A2:L2"/>
    <mergeCell ref="C15:D15"/>
    <mergeCell ref="C6:J6"/>
    <mergeCell ref="C17:E17"/>
    <mergeCell ref="C11:D11"/>
    <mergeCell ref="C13:D13"/>
    <mergeCell ref="C21:D21"/>
    <mergeCell ref="C24:F24"/>
    <mergeCell ref="C23:D23"/>
    <mergeCell ref="G24:M24"/>
    <mergeCell ref="C8:G9"/>
    <mergeCell ref="E34:I34"/>
    <mergeCell ref="D40:H40"/>
    <mergeCell ref="E44:G44"/>
    <mergeCell ref="C26:D26"/>
    <mergeCell ref="F26:J26"/>
  </mergeCells>
  <hyperlinks>
    <hyperlink ref="C11" r:id="rId1" xr:uid="{00000000-0004-0000-0000-000000000000}"/>
    <hyperlink ref="C13:D13" r:id="rId2" display="R.D. 462/2002" xr:uid="{00000000-0004-0000-0000-000001000000}"/>
    <hyperlink ref="C15" location="'AYUDA DE DIETAS'!A1" display="Ayuda de dietas" xr:uid="{00000000-0004-0000-0000-000002000000}"/>
    <hyperlink ref="C17:D17" location="KM!A1" display="Consulta de KM ( uso vehículo particular)" xr:uid="{00000000-0004-0000-0000-000003000000}"/>
    <hyperlink ref="C19" location="Datos1!B2" display="Datos1" xr:uid="{00000000-0004-0000-0000-000004000000}"/>
    <hyperlink ref="D19" location="Datos3!B2" display="Datos3" xr:uid="{00000000-0004-0000-0000-000005000000}"/>
    <hyperlink ref="C21:D21" r:id="rId3" display="Anexo de Viajes y Dietas" xr:uid="{00000000-0004-0000-0000-000006000000}"/>
    <hyperlink ref="C23:D23" location="'Ejemplo de anexo'!A1" display="'Ejemplo de anexo" xr:uid="{00000000-0004-0000-0000-000007000000}"/>
    <hyperlink ref="C24" location="'Declracion responsable'!A1" display="Declaración responsable ( uso vehículo particular)" xr:uid="{00000000-0004-0000-0000-000008000000}"/>
    <hyperlink ref="C24:F24" location="'Declaracion responsable'!A1" display="Declaración responsable (uso vehículo particular)" xr:uid="{00000000-0004-0000-0000-000009000000}"/>
    <hyperlink ref="C26:D26" location="'justifique su anticipo'!E5" display="Calcule su justificación" xr:uid="{00000000-0004-0000-0000-00000A000000}"/>
    <hyperlink ref="D40:H40" r:id="rId4" display="Cambio oficial del euro publicado por el Banco Central Europeo." xr:uid="{00000000-0004-0000-0000-00000B000000}"/>
    <hyperlink ref="E44:G44" r:id="rId5" display="Conversor" xr:uid="{00000000-0004-0000-0000-00000C000000}"/>
    <hyperlink ref="C49" location="Datos1!A1" display="Datos1" xr:uid="{00000000-0004-0000-0000-00000D000000}"/>
    <hyperlink ref="C51" location="Datos3!A1" display="Datos3" xr:uid="{00000000-0004-0000-0000-00000E000000}"/>
    <hyperlink ref="C17:E17" location="KM!A1" display="Consulta de KM (uso vehículo particular)" xr:uid="{00000000-0004-0000-0000-00000F000000}"/>
    <hyperlink ref="C15:D15" location="'AYUDA DE DIETAS'!A1" display="Ayuda de dietas" xr:uid="{00000000-0004-0000-0000-000010000000}"/>
    <hyperlink ref="G24:K24" r:id="rId6" display="(Exigible en proyectos del ministerio, convocatoria 2016 en adelante)" xr:uid="{00000000-0004-0000-0000-000011000000}"/>
    <hyperlink ref="G24:M24" r:id="rId7" display="(Exigible en proyectos del ministerio, convocatoria 2016 en adelante) Véase p.32 párrafo 10" xr:uid="{00000000-0004-0000-0000-000012000000}"/>
    <hyperlink ref="N24:O24" r:id="rId8" display="y otras convocatorias" xr:uid="{00000000-0004-0000-0000-000013000000}"/>
    <hyperlink ref="C8:G9" location="'NACIONAL Y UN PAÍS  EXTRANJERO'!B10" display="Hoja de liquidación de dietas (Ministerio/Junta)" xr:uid="{00000000-0004-0000-0000-000014000000}"/>
    <hyperlink ref="I8:M9" location="CONFERENCIANTES!C12" display="Pago a Conferenciantes (Ministerio/Junta)" xr:uid="{00000000-0004-0000-0000-000017000000}"/>
  </hyperlinks>
  <printOptions horizontalCentered="1" verticalCentered="1"/>
  <pageMargins left="0" right="0" top="0" bottom="0" header="0" footer="0"/>
  <pageSetup paperSize="9" scale="72"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theme="9" tint="-0.249977111117893"/>
  </sheetPr>
  <dimension ref="E2:N36"/>
  <sheetViews>
    <sheetView showGridLines="0" workbookViewId="0">
      <selection activeCell="E27" sqref="E27"/>
    </sheetView>
  </sheetViews>
  <sheetFormatPr baseColWidth="10" defaultRowHeight="13.2" x14ac:dyDescent="0.25"/>
  <sheetData>
    <row r="2" spans="5:13" x14ac:dyDescent="0.25">
      <c r="E2" s="235" t="s">
        <v>315</v>
      </c>
      <c r="F2" s="225"/>
      <c r="G2" s="132"/>
      <c r="H2" s="132"/>
    </row>
    <row r="7" spans="5:13" x14ac:dyDescent="0.25">
      <c r="M7" s="3" t="s">
        <v>309</v>
      </c>
    </row>
    <row r="9" spans="5:13" x14ac:dyDescent="0.25">
      <c r="M9" s="114" t="s">
        <v>310</v>
      </c>
    </row>
    <row r="10" spans="5:13" x14ac:dyDescent="0.25">
      <c r="M10" s="114" t="s">
        <v>311</v>
      </c>
    </row>
    <row r="11" spans="5:13" x14ac:dyDescent="0.25">
      <c r="M11" s="114" t="s">
        <v>312</v>
      </c>
    </row>
    <row r="12" spans="5:13" x14ac:dyDescent="0.25">
      <c r="M12" s="114" t="s">
        <v>313</v>
      </c>
    </row>
    <row r="13" spans="5:13" x14ac:dyDescent="0.25">
      <c r="M13" s="114" t="s">
        <v>314</v>
      </c>
    </row>
    <row r="29" spans="5:8" x14ac:dyDescent="0.25">
      <c r="E29" s="1367" t="s">
        <v>316</v>
      </c>
      <c r="F29" s="1364"/>
      <c r="G29" s="1364"/>
      <c r="H29" s="1364"/>
    </row>
    <row r="34" spans="14:14" x14ac:dyDescent="0.25">
      <c r="N34" s="3" t="s">
        <v>317</v>
      </c>
    </row>
    <row r="35" spans="14:14" x14ac:dyDescent="0.25">
      <c r="N35" s="114" t="s">
        <v>318</v>
      </c>
    </row>
    <row r="36" spans="14:14" x14ac:dyDescent="0.25">
      <c r="N36" s="114" t="s">
        <v>320</v>
      </c>
    </row>
  </sheetData>
  <sheetProtection password="A0B2" sheet="1" objects="1" scenarios="1" selectLockedCells="1" selectUnlockedCells="1"/>
  <mergeCells count="1">
    <mergeCell ref="E29:H2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dimension ref="A1:C50"/>
  <sheetViews>
    <sheetView showGridLines="0" workbookViewId="0"/>
  </sheetViews>
  <sheetFormatPr baseColWidth="10" defaultColWidth="11.5546875" defaultRowHeight="13.8" x14ac:dyDescent="0.3"/>
  <cols>
    <col min="1" max="1" width="67" style="684" customWidth="1"/>
    <col min="2" max="16384" width="11.5546875" style="684"/>
  </cols>
  <sheetData>
    <row r="1" spans="1:3" ht="33.6" x14ac:dyDescent="0.3">
      <c r="A1" s="118" t="s">
        <v>439</v>
      </c>
    </row>
    <row r="2" spans="1:3" ht="14.4" x14ac:dyDescent="0.3">
      <c r="A2" s="683" t="s">
        <v>456</v>
      </c>
    </row>
    <row r="3" spans="1:3" ht="14.4" x14ac:dyDescent="0.3">
      <c r="A3" s="683" t="s">
        <v>455</v>
      </c>
    </row>
    <row r="4" spans="1:3" ht="14.4" x14ac:dyDescent="0.3">
      <c r="A4" s="683" t="s">
        <v>457</v>
      </c>
    </row>
    <row r="5" spans="1:3" ht="14.4" x14ac:dyDescent="0.3">
      <c r="A5" s="683" t="s">
        <v>458</v>
      </c>
    </row>
    <row r="6" spans="1:3" ht="14.4" x14ac:dyDescent="0.3">
      <c r="A6" s="683" t="s">
        <v>459</v>
      </c>
    </row>
    <row r="7" spans="1:3" ht="14.4" x14ac:dyDescent="0.3">
      <c r="A7" s="683" t="s">
        <v>460</v>
      </c>
    </row>
    <row r="8" spans="1:3" ht="14.4" x14ac:dyDescent="0.3">
      <c r="A8" s="683" t="s">
        <v>461</v>
      </c>
    </row>
    <row r="9" spans="1:3" ht="14.4" x14ac:dyDescent="0.3">
      <c r="A9" s="683" t="s">
        <v>462</v>
      </c>
    </row>
    <row r="10" spans="1:3" ht="14.4" x14ac:dyDescent="0.3">
      <c r="A10" s="683" t="s">
        <v>463</v>
      </c>
    </row>
    <row r="11" spans="1:3" ht="14.4" x14ac:dyDescent="0.3">
      <c r="A11" s="683" t="s">
        <v>464</v>
      </c>
    </row>
    <row r="12" spans="1:3" ht="14.4" x14ac:dyDescent="0.3">
      <c r="A12" s="683" t="s">
        <v>465</v>
      </c>
    </row>
    <row r="13" spans="1:3" ht="14.4" x14ac:dyDescent="0.3">
      <c r="A13" s="683" t="s">
        <v>466</v>
      </c>
      <c r="C13" s="685"/>
    </row>
    <row r="14" spans="1:3" ht="14.4" x14ac:dyDescent="0.3">
      <c r="A14" s="683" t="s">
        <v>467</v>
      </c>
    </row>
    <row r="15" spans="1:3" ht="14.4" x14ac:dyDescent="0.3">
      <c r="A15" s="683" t="s">
        <v>468</v>
      </c>
    </row>
    <row r="16" spans="1:3" ht="14.4" x14ac:dyDescent="0.3">
      <c r="A16" s="683" t="s">
        <v>469</v>
      </c>
    </row>
    <row r="17" spans="1:1" ht="14.4" x14ac:dyDescent="0.3">
      <c r="A17" s="683" t="s">
        <v>470</v>
      </c>
    </row>
    <row r="18" spans="1:1" ht="14.4" x14ac:dyDescent="0.3">
      <c r="A18" s="683" t="s">
        <v>471</v>
      </c>
    </row>
    <row r="19" spans="1:1" ht="14.4" x14ac:dyDescent="0.3">
      <c r="A19" s="683" t="s">
        <v>501</v>
      </c>
    </row>
    <row r="20" spans="1:1" ht="14.4" x14ac:dyDescent="0.3">
      <c r="A20" s="683" t="s">
        <v>472</v>
      </c>
    </row>
    <row r="21" spans="1:1" ht="14.4" x14ac:dyDescent="0.3">
      <c r="A21" s="683" t="s">
        <v>473</v>
      </c>
    </row>
    <row r="22" spans="1:1" ht="14.4" x14ac:dyDescent="0.3">
      <c r="A22" s="683" t="s">
        <v>474</v>
      </c>
    </row>
    <row r="23" spans="1:1" ht="14.4" x14ac:dyDescent="0.3">
      <c r="A23" s="683" t="s">
        <v>475</v>
      </c>
    </row>
    <row r="24" spans="1:1" ht="14.4" x14ac:dyDescent="0.3">
      <c r="A24" s="683" t="s">
        <v>476</v>
      </c>
    </row>
    <row r="25" spans="1:1" ht="14.4" x14ac:dyDescent="0.3">
      <c r="A25" s="683" t="s">
        <v>502</v>
      </c>
    </row>
    <row r="26" spans="1:1" ht="14.4" x14ac:dyDescent="0.3">
      <c r="A26" s="683" t="s">
        <v>477</v>
      </c>
    </row>
    <row r="27" spans="1:1" ht="14.4" x14ac:dyDescent="0.3">
      <c r="A27" s="683" t="s">
        <v>503</v>
      </c>
    </row>
    <row r="28" spans="1:1" ht="14.4" x14ac:dyDescent="0.3">
      <c r="A28" s="683" t="s">
        <v>478</v>
      </c>
    </row>
    <row r="29" spans="1:1" ht="14.4" x14ac:dyDescent="0.3">
      <c r="A29" s="683" t="s">
        <v>479</v>
      </c>
    </row>
    <row r="30" spans="1:1" ht="14.4" x14ac:dyDescent="0.3">
      <c r="A30" s="683" t="s">
        <v>480</v>
      </c>
    </row>
    <row r="31" spans="1:1" ht="14.4" x14ac:dyDescent="0.3">
      <c r="A31" s="683" t="s">
        <v>481</v>
      </c>
    </row>
    <row r="32" spans="1:1" ht="14.4" x14ac:dyDescent="0.3">
      <c r="A32" s="683" t="s">
        <v>482</v>
      </c>
    </row>
    <row r="33" spans="1:1" ht="14.4" x14ac:dyDescent="0.3">
      <c r="A33" s="683" t="s">
        <v>483</v>
      </c>
    </row>
    <row r="34" spans="1:1" ht="14.4" x14ac:dyDescent="0.3">
      <c r="A34" s="683" t="s">
        <v>484</v>
      </c>
    </row>
    <row r="35" spans="1:1" ht="14.4" x14ac:dyDescent="0.3">
      <c r="A35" s="683" t="s">
        <v>485</v>
      </c>
    </row>
    <row r="36" spans="1:1" ht="14.4" x14ac:dyDescent="0.3">
      <c r="A36" s="683" t="s">
        <v>486</v>
      </c>
    </row>
    <row r="37" spans="1:1" ht="14.4" x14ac:dyDescent="0.3">
      <c r="A37" s="683" t="s">
        <v>487</v>
      </c>
    </row>
    <row r="38" spans="1:1" ht="14.4" x14ac:dyDescent="0.3">
      <c r="A38" s="683" t="s">
        <v>488</v>
      </c>
    </row>
    <row r="39" spans="1:1" ht="14.4" x14ac:dyDescent="0.3">
      <c r="A39" s="683" t="s">
        <v>489</v>
      </c>
    </row>
    <row r="40" spans="1:1" ht="14.4" x14ac:dyDescent="0.3">
      <c r="A40" s="683" t="s">
        <v>490</v>
      </c>
    </row>
    <row r="41" spans="1:1" ht="14.4" x14ac:dyDescent="0.3">
      <c r="A41" s="683" t="s">
        <v>491</v>
      </c>
    </row>
    <row r="42" spans="1:1" ht="14.4" x14ac:dyDescent="0.3">
      <c r="A42" s="683" t="s">
        <v>492</v>
      </c>
    </row>
    <row r="43" spans="1:1" ht="14.4" x14ac:dyDescent="0.3">
      <c r="A43" s="683" t="s">
        <v>493</v>
      </c>
    </row>
    <row r="44" spans="1:1" ht="14.4" x14ac:dyDescent="0.3">
      <c r="A44" s="683" t="s">
        <v>494</v>
      </c>
    </row>
    <row r="45" spans="1:1" ht="14.4" x14ac:dyDescent="0.3">
      <c r="A45" s="683" t="s">
        <v>495</v>
      </c>
    </row>
    <row r="46" spans="1:1" ht="14.4" x14ac:dyDescent="0.3">
      <c r="A46" s="683" t="s">
        <v>496</v>
      </c>
    </row>
    <row r="47" spans="1:1" ht="14.4" x14ac:dyDescent="0.3">
      <c r="A47" s="683" t="s">
        <v>497</v>
      </c>
    </row>
    <row r="48" spans="1:1" ht="14.4" x14ac:dyDescent="0.3">
      <c r="A48" s="683" t="s">
        <v>498</v>
      </c>
    </row>
    <row r="49" spans="1:1" ht="14.4" x14ac:dyDescent="0.3">
      <c r="A49" s="683" t="s">
        <v>499</v>
      </c>
    </row>
    <row r="50" spans="1:1" ht="14.4" x14ac:dyDescent="0.3">
      <c r="A50" s="686"/>
    </row>
  </sheetData>
  <sheetProtection password="A7D8" sheet="1" objects="1" scenarios="1"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M21"/>
  <sheetViews>
    <sheetView showGridLines="0" zoomScaleNormal="100" workbookViewId="0">
      <selection activeCell="E5" sqref="E5:F5"/>
    </sheetView>
  </sheetViews>
  <sheetFormatPr baseColWidth="10" defaultColWidth="11.5546875" defaultRowHeight="13.2" x14ac:dyDescent="0.25"/>
  <cols>
    <col min="1" max="12" width="11.5546875" style="247"/>
    <col min="13" max="13" width="0" style="247" hidden="1" customWidth="1"/>
    <col min="14" max="16384" width="11.5546875" style="247"/>
  </cols>
  <sheetData>
    <row r="2" spans="1:13" ht="15.6" x14ac:dyDescent="0.3">
      <c r="A2" s="1376" t="s">
        <v>418</v>
      </c>
      <c r="B2" s="1376"/>
      <c r="C2" s="1376"/>
      <c r="D2" s="1376"/>
      <c r="E2" s="1376"/>
      <c r="F2" s="1376"/>
      <c r="G2" s="1376"/>
      <c r="H2" s="1376"/>
      <c r="I2" s="1376"/>
      <c r="J2" s="1376"/>
      <c r="K2" s="1376"/>
      <c r="L2" s="1376"/>
      <c r="M2" s="252"/>
    </row>
    <row r="3" spans="1:13" ht="14.4" x14ac:dyDescent="0.3">
      <c r="A3" s="252"/>
      <c r="B3" s="252"/>
      <c r="C3" s="252"/>
      <c r="D3" s="252"/>
      <c r="E3" s="252"/>
      <c r="F3" s="252"/>
      <c r="G3" s="252"/>
      <c r="H3" s="252"/>
      <c r="I3" s="252"/>
      <c r="J3" s="252"/>
      <c r="K3" s="252"/>
      <c r="L3" s="252"/>
      <c r="M3" s="253">
        <f>F21-E5</f>
        <v>0</v>
      </c>
    </row>
    <row r="5" spans="1:13" ht="15.6" x14ac:dyDescent="0.3">
      <c r="A5" s="252"/>
      <c r="B5" s="254" t="s">
        <v>332</v>
      </c>
      <c r="C5" s="255"/>
      <c r="D5" s="252"/>
      <c r="E5" s="1377"/>
      <c r="F5" s="1378"/>
      <c r="G5" s="1380" t="str">
        <f>IF(M3&gt;0,"El importe de la ampliación es de",IF(M3&lt;0," Debe ingresar",""))</f>
        <v/>
      </c>
      <c r="H5" s="1381"/>
      <c r="I5" s="1381"/>
      <c r="J5" s="256">
        <f>M3</f>
        <v>0</v>
      </c>
      <c r="K5" s="252"/>
      <c r="L5" s="252"/>
      <c r="M5" s="252"/>
    </row>
    <row r="6" spans="1:13" ht="15.6" x14ac:dyDescent="0.3">
      <c r="A6" s="252"/>
      <c r="B6" s="1374" t="str">
        <f>IF(G5="El importe de la ampliación es de","La O.P. para ampliar el anticipo tiene que ir a nombre de:","")</f>
        <v/>
      </c>
      <c r="C6" s="1374"/>
      <c r="D6" s="1374"/>
      <c r="E6" s="1374"/>
      <c r="F6" s="1374"/>
      <c r="G6" s="1375" t="str">
        <f>IF(D8&lt;&gt;"",D8,"")</f>
        <v/>
      </c>
      <c r="H6" s="1375"/>
      <c r="I6" s="1375"/>
      <c r="J6" s="1375"/>
      <c r="K6" s="1375"/>
      <c r="L6" s="252"/>
      <c r="M6" s="252"/>
    </row>
    <row r="8" spans="1:13" ht="14.4" x14ac:dyDescent="0.3">
      <c r="A8" s="252"/>
      <c r="B8" s="1379" t="s">
        <v>333</v>
      </c>
      <c r="C8" s="1379"/>
      <c r="D8" s="1384"/>
      <c r="E8" s="1385"/>
      <c r="F8" s="1385"/>
      <c r="G8" s="1385"/>
      <c r="H8" s="1385"/>
      <c r="I8" s="1385"/>
      <c r="J8" s="1385"/>
      <c r="K8" s="1386"/>
      <c r="L8" s="252"/>
      <c r="M8" s="252"/>
    </row>
    <row r="11" spans="1:13" ht="14.4" x14ac:dyDescent="0.3">
      <c r="A11" s="252"/>
      <c r="B11" s="1387" t="s">
        <v>334</v>
      </c>
      <c r="C11" s="1388"/>
      <c r="D11" s="1389"/>
      <c r="E11" s="252"/>
      <c r="F11" s="1387" t="s">
        <v>419</v>
      </c>
      <c r="G11" s="1388"/>
      <c r="H11" s="1388"/>
      <c r="I11" s="1388"/>
      <c r="J11" s="1389"/>
      <c r="K11" s="252"/>
      <c r="L11" s="252"/>
      <c r="M11" s="252"/>
    </row>
    <row r="12" spans="1:13" ht="14.4" x14ac:dyDescent="0.3">
      <c r="A12" s="252"/>
      <c r="B12" s="1383"/>
      <c r="C12" s="1373"/>
      <c r="D12" s="1373"/>
      <c r="E12" s="252"/>
      <c r="F12" s="266"/>
      <c r="G12" s="252"/>
      <c r="H12" s="252"/>
      <c r="I12" s="252"/>
      <c r="J12" s="252"/>
      <c r="K12" s="252"/>
      <c r="L12" s="252"/>
      <c r="M12" s="252"/>
    </row>
    <row r="13" spans="1:13" ht="14.4" x14ac:dyDescent="0.3">
      <c r="A13" s="252"/>
      <c r="B13" s="1382"/>
      <c r="C13" s="1369"/>
      <c r="D13" s="1369"/>
      <c r="E13" s="252"/>
      <c r="F13" s="265"/>
      <c r="G13" s="252"/>
      <c r="H13" s="252"/>
      <c r="I13" s="252"/>
      <c r="J13" s="252"/>
      <c r="K13" s="252"/>
      <c r="L13" s="252"/>
      <c r="M13" s="252"/>
    </row>
    <row r="14" spans="1:13" ht="14.4" x14ac:dyDescent="0.3">
      <c r="A14" s="252"/>
      <c r="B14" s="1383"/>
      <c r="C14" s="1373"/>
      <c r="D14" s="1373"/>
      <c r="E14" s="252"/>
      <c r="F14" s="265"/>
      <c r="G14" s="252"/>
      <c r="H14" s="252"/>
      <c r="I14" s="252"/>
      <c r="J14" s="252"/>
      <c r="K14" s="252"/>
      <c r="L14" s="252"/>
      <c r="M14" s="252"/>
    </row>
    <row r="15" spans="1:13" ht="14.4" x14ac:dyDescent="0.3">
      <c r="A15" s="252"/>
      <c r="B15" s="1373"/>
      <c r="C15" s="1373"/>
      <c r="D15" s="1373"/>
      <c r="E15" s="252"/>
      <c r="F15" s="265"/>
      <c r="G15" s="252"/>
      <c r="H15" s="252"/>
      <c r="I15" s="252"/>
      <c r="J15" s="252"/>
      <c r="K15" s="252"/>
      <c r="L15" s="252"/>
      <c r="M15" s="252"/>
    </row>
    <row r="16" spans="1:13" ht="14.4" x14ac:dyDescent="0.3">
      <c r="A16" s="252"/>
      <c r="B16" s="1373"/>
      <c r="C16" s="1373"/>
      <c r="D16" s="1373"/>
      <c r="E16" s="252"/>
      <c r="F16" s="265"/>
      <c r="G16" s="252"/>
      <c r="H16" s="252"/>
      <c r="I16" s="252"/>
      <c r="J16" s="252"/>
      <c r="K16" s="252"/>
      <c r="L16" s="252"/>
      <c r="M16" s="252"/>
    </row>
    <row r="17" spans="1:13" ht="14.4" x14ac:dyDescent="0.3">
      <c r="A17" s="252"/>
      <c r="B17" s="1373"/>
      <c r="C17" s="1373"/>
      <c r="D17" s="1373"/>
      <c r="E17" s="252"/>
      <c r="F17" s="265"/>
      <c r="G17" s="252"/>
      <c r="H17" s="252"/>
      <c r="I17" s="252"/>
      <c r="J17" s="252"/>
      <c r="K17" s="252"/>
      <c r="L17" s="252"/>
      <c r="M17" s="252"/>
    </row>
    <row r="18" spans="1:13" ht="14.4" x14ac:dyDescent="0.3">
      <c r="B18" s="1373"/>
      <c r="C18" s="1373"/>
      <c r="D18" s="1373"/>
      <c r="E18" s="252"/>
      <c r="F18" s="266"/>
    </row>
    <row r="19" spans="1:13" ht="14.4" x14ac:dyDescent="0.3">
      <c r="B19" s="1373"/>
      <c r="C19" s="1373"/>
      <c r="D19" s="1373"/>
      <c r="E19" s="252"/>
      <c r="F19" s="265"/>
    </row>
    <row r="20" spans="1:13" ht="14.4" x14ac:dyDescent="0.3">
      <c r="B20" s="1368"/>
      <c r="C20" s="1369"/>
      <c r="D20" s="1369"/>
      <c r="E20" s="252"/>
      <c r="F20" s="265"/>
    </row>
    <row r="21" spans="1:13" ht="14.4" x14ac:dyDescent="0.3">
      <c r="B21" s="1370" t="s">
        <v>335</v>
      </c>
      <c r="C21" s="1371"/>
      <c r="D21" s="1372"/>
      <c r="E21" s="252"/>
      <c r="F21" s="257">
        <f>SUM(F12:F20)</f>
        <v>0</v>
      </c>
    </row>
  </sheetData>
  <sheetProtection password="A7D8" sheet="1" objects="1" scenarios="1" selectLockedCells="1"/>
  <mergeCells count="19">
    <mergeCell ref="B13:D13"/>
    <mergeCell ref="B14:D14"/>
    <mergeCell ref="D8:K8"/>
    <mergeCell ref="B11:D11"/>
    <mergeCell ref="B12:D12"/>
    <mergeCell ref="F11:J11"/>
    <mergeCell ref="B6:F6"/>
    <mergeCell ref="G6:K6"/>
    <mergeCell ref="A2:L2"/>
    <mergeCell ref="E5:F5"/>
    <mergeCell ref="B8:C8"/>
    <mergeCell ref="G5:I5"/>
    <mergeCell ref="B20:D20"/>
    <mergeCell ref="B21:D21"/>
    <mergeCell ref="B18:D18"/>
    <mergeCell ref="B19:D19"/>
    <mergeCell ref="B15:D15"/>
    <mergeCell ref="B16:D16"/>
    <mergeCell ref="B17:D17"/>
  </mergeCells>
  <pageMargins left="0.70866141732283472" right="0.70866141732283472" top="0.74803149606299213" bottom="0.74803149606299213" header="0.31496062992125984" footer="0.31496062992125984"/>
  <pageSetup paperSize="9" scale="96"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GA125"/>
  <sheetViews>
    <sheetView showGridLines="0" topLeftCell="A12" zoomScale="90" zoomScaleNormal="90" zoomScaleSheetLayoutView="100" workbookViewId="0">
      <selection activeCell="C12" sqref="C12:I12"/>
    </sheetView>
  </sheetViews>
  <sheetFormatPr baseColWidth="10" defaultColWidth="11.44140625" defaultRowHeight="13.2" x14ac:dyDescent="0.25"/>
  <cols>
    <col min="1" max="1" width="0.88671875" style="716" customWidth="1"/>
    <col min="2" max="2" width="38.88671875" style="716" customWidth="1"/>
    <col min="3" max="3" width="13.33203125" style="716" customWidth="1"/>
    <col min="4" max="4" width="12.44140625" style="716" customWidth="1"/>
    <col min="5" max="5" width="13.109375" style="716" customWidth="1"/>
    <col min="6" max="6" width="16.5546875" style="716" customWidth="1"/>
    <col min="7" max="7" width="17.109375" style="716" customWidth="1"/>
    <col min="8" max="8" width="23.33203125" style="716" customWidth="1"/>
    <col min="9" max="9" width="15.44140625" style="22" customWidth="1"/>
    <col min="10" max="10" width="10.6640625" style="716" customWidth="1"/>
    <col min="11" max="11" width="9.109375" style="716" hidden="1" customWidth="1"/>
    <col min="12" max="12" width="10.33203125" style="716" hidden="1" customWidth="1"/>
    <col min="13" max="13" width="11.33203125" style="716" hidden="1" customWidth="1"/>
    <col min="14" max="14" width="21" style="716" hidden="1" customWidth="1"/>
    <col min="15" max="15" width="10.5546875" style="716" hidden="1" customWidth="1"/>
    <col min="16" max="16" width="13" style="716" hidden="1" customWidth="1"/>
    <col min="17" max="17" width="19.21875" style="716" hidden="1" customWidth="1"/>
    <col min="18" max="18" width="14.77734375" style="716" hidden="1" customWidth="1"/>
    <col min="19" max="19" width="13.109375" style="716" hidden="1" customWidth="1"/>
    <col min="20" max="20" width="14.77734375" style="716" hidden="1" customWidth="1"/>
    <col min="21" max="21" width="15.6640625" style="716" hidden="1" customWidth="1"/>
    <col min="22" max="26" width="11.44140625" style="716" hidden="1" customWidth="1"/>
    <col min="27" max="32" width="11.44140625" style="716"/>
    <col min="33" max="183" width="11.44140625" style="22"/>
    <col min="184" max="16384" width="11.44140625" style="716"/>
  </cols>
  <sheetData>
    <row r="1" spans="1:183" x14ac:dyDescent="0.25">
      <c r="C1" s="722"/>
      <c r="D1" s="17"/>
      <c r="E1" s="17"/>
      <c r="F1" s="17"/>
      <c r="G1" s="17"/>
      <c r="H1" s="17"/>
      <c r="AG1" s="716"/>
      <c r="AH1" s="716"/>
      <c r="AI1" s="716"/>
      <c r="AJ1" s="716"/>
      <c r="AK1" s="716"/>
      <c r="AL1" s="716"/>
      <c r="AM1" s="716"/>
      <c r="AN1" s="716"/>
      <c r="AO1" s="716"/>
      <c r="AP1" s="716"/>
      <c r="AQ1" s="716"/>
      <c r="AR1" s="716"/>
      <c r="AS1" s="716"/>
      <c r="AT1" s="716"/>
      <c r="AU1" s="716"/>
      <c r="AV1" s="716"/>
      <c r="AW1" s="716"/>
      <c r="AX1" s="716"/>
      <c r="AY1" s="716"/>
      <c r="AZ1" s="716"/>
      <c r="BA1" s="716"/>
      <c r="BB1" s="716"/>
      <c r="BC1" s="716"/>
      <c r="BD1" s="716"/>
      <c r="BE1" s="716"/>
      <c r="BF1" s="716"/>
      <c r="BG1" s="716"/>
      <c r="BH1" s="716"/>
      <c r="BI1" s="716"/>
      <c r="BJ1" s="716"/>
      <c r="BK1" s="716"/>
      <c r="BL1" s="716"/>
      <c r="BM1" s="716"/>
      <c r="BN1" s="716"/>
      <c r="BO1" s="716"/>
      <c r="BP1" s="716"/>
      <c r="BQ1" s="716"/>
      <c r="BR1" s="716"/>
      <c r="BS1" s="716"/>
      <c r="BT1" s="716"/>
      <c r="BU1" s="716"/>
      <c r="BV1" s="716"/>
      <c r="BW1" s="716"/>
      <c r="BX1" s="716"/>
      <c r="BY1" s="716"/>
      <c r="BZ1" s="716"/>
      <c r="CA1" s="716"/>
      <c r="CB1" s="716"/>
      <c r="CC1" s="716"/>
      <c r="CD1" s="716"/>
      <c r="CE1" s="716"/>
      <c r="CF1" s="716"/>
      <c r="CG1" s="716"/>
      <c r="CH1" s="716"/>
      <c r="CI1" s="716"/>
      <c r="CJ1" s="716"/>
      <c r="CK1" s="716"/>
      <c r="CL1" s="716"/>
      <c r="CM1" s="716"/>
      <c r="CN1" s="716"/>
      <c r="CO1" s="716"/>
      <c r="CP1" s="716"/>
      <c r="CQ1" s="716"/>
      <c r="CR1" s="716"/>
      <c r="CS1" s="716"/>
      <c r="CT1" s="716"/>
      <c r="CU1" s="716"/>
      <c r="CV1" s="716"/>
      <c r="CW1" s="716"/>
      <c r="CX1" s="716"/>
      <c r="CY1" s="716"/>
      <c r="CZ1" s="716"/>
      <c r="DA1" s="716"/>
      <c r="DB1" s="716"/>
      <c r="DC1" s="716"/>
      <c r="DD1" s="716"/>
      <c r="DE1" s="716"/>
      <c r="DF1" s="716"/>
      <c r="DG1" s="716"/>
      <c r="DH1" s="716"/>
      <c r="DI1" s="716"/>
      <c r="DJ1" s="716"/>
      <c r="DK1" s="716"/>
      <c r="DL1" s="716"/>
      <c r="DM1" s="716"/>
      <c r="DN1" s="716"/>
      <c r="DO1" s="716"/>
      <c r="DP1" s="716"/>
      <c r="DQ1" s="716"/>
      <c r="DR1" s="716"/>
      <c r="DS1" s="716"/>
      <c r="DT1" s="716"/>
      <c r="DU1" s="716"/>
      <c r="DV1" s="716"/>
      <c r="DW1" s="716"/>
      <c r="DX1" s="716"/>
      <c r="DY1" s="716"/>
      <c r="DZ1" s="716"/>
      <c r="EA1" s="716"/>
      <c r="EB1" s="716"/>
      <c r="EC1" s="716"/>
      <c r="ED1" s="716"/>
      <c r="EE1" s="716"/>
      <c r="EF1" s="716"/>
      <c r="EG1" s="716"/>
      <c r="EH1" s="716"/>
      <c r="EI1" s="716"/>
      <c r="EJ1" s="716"/>
      <c r="EK1" s="716"/>
      <c r="EL1" s="716"/>
      <c r="EM1" s="716"/>
      <c r="EN1" s="716"/>
      <c r="EO1" s="716"/>
      <c r="EP1" s="716"/>
      <c r="EQ1" s="716"/>
      <c r="ER1" s="716"/>
      <c r="ES1" s="716"/>
      <c r="ET1" s="716"/>
      <c r="EU1" s="716"/>
      <c r="EV1" s="716"/>
      <c r="EW1" s="716"/>
      <c r="EX1" s="716"/>
      <c r="EY1" s="716"/>
      <c r="EZ1" s="716"/>
      <c r="FA1" s="716"/>
      <c r="FB1" s="716"/>
      <c r="FC1" s="716"/>
      <c r="FD1" s="716"/>
      <c r="FE1" s="716"/>
      <c r="FF1" s="716"/>
      <c r="FG1" s="716"/>
      <c r="FH1" s="716"/>
      <c r="FI1" s="716"/>
      <c r="FJ1" s="716"/>
      <c r="FK1" s="716"/>
      <c r="FL1" s="716"/>
      <c r="FM1" s="716"/>
      <c r="FN1" s="716"/>
      <c r="FO1" s="716"/>
      <c r="FP1" s="716"/>
      <c r="FQ1" s="716"/>
      <c r="FR1" s="716"/>
      <c r="FS1" s="716"/>
      <c r="FT1" s="716"/>
      <c r="FU1" s="716"/>
      <c r="FV1" s="716"/>
      <c r="FW1" s="716"/>
      <c r="FX1" s="716"/>
      <c r="FY1" s="716"/>
      <c r="FZ1" s="716"/>
      <c r="GA1" s="716"/>
    </row>
    <row r="2" spans="1:183" ht="17.399999999999999" x14ac:dyDescent="0.3">
      <c r="C2" s="17"/>
      <c r="D2" s="17"/>
      <c r="E2" s="723" t="str">
        <f>IF(F2="","","Decreto")</f>
        <v/>
      </c>
      <c r="F2" s="1415" t="str">
        <f>IF(C29=R3,R3,IF(C29=R4,R4,""))</f>
        <v/>
      </c>
      <c r="G2" s="1415"/>
      <c r="H2" s="17"/>
      <c r="R2" s="718" t="s">
        <v>528</v>
      </c>
      <c r="T2" s="718" t="s">
        <v>529</v>
      </c>
      <c r="U2" s="718" t="s">
        <v>245</v>
      </c>
      <c r="V2" s="718" t="s">
        <v>530</v>
      </c>
      <c r="W2" s="718" t="s">
        <v>531</v>
      </c>
      <c r="AB2" s="834" t="s">
        <v>650</v>
      </c>
      <c r="AE2" s="834"/>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s="716"/>
      <c r="CB2" s="716"/>
      <c r="CC2" s="716"/>
      <c r="CD2" s="716"/>
      <c r="CE2" s="716"/>
      <c r="CF2" s="716"/>
      <c r="CG2" s="716"/>
      <c r="CH2" s="716"/>
      <c r="CI2" s="716"/>
      <c r="CJ2" s="716"/>
      <c r="CK2" s="716"/>
      <c r="CL2" s="716"/>
      <c r="CM2" s="716"/>
      <c r="CN2" s="716"/>
      <c r="CO2" s="716"/>
      <c r="CP2" s="716"/>
      <c r="CQ2" s="716"/>
      <c r="CR2" s="716"/>
      <c r="CS2" s="716"/>
      <c r="CT2" s="716"/>
      <c r="CU2" s="716"/>
      <c r="CV2" s="716"/>
      <c r="CW2" s="716"/>
      <c r="CX2" s="716"/>
      <c r="CY2" s="716"/>
      <c r="CZ2" s="716"/>
      <c r="DA2" s="716"/>
      <c r="DB2" s="716"/>
      <c r="DC2" s="716"/>
      <c r="DD2" s="716"/>
      <c r="DE2" s="716"/>
      <c r="DF2" s="716"/>
      <c r="DG2" s="716"/>
      <c r="DH2" s="716"/>
      <c r="DI2" s="716"/>
      <c r="DJ2" s="716"/>
      <c r="DK2" s="716"/>
      <c r="DL2" s="716"/>
      <c r="DM2" s="716"/>
      <c r="DN2" s="716"/>
      <c r="DO2" s="716"/>
      <c r="DP2" s="716"/>
      <c r="DQ2" s="716"/>
      <c r="DR2" s="716"/>
      <c r="DS2" s="716"/>
      <c r="DT2" s="716"/>
      <c r="DU2" s="716"/>
      <c r="DV2" s="716"/>
      <c r="DW2" s="716"/>
      <c r="DX2" s="716"/>
      <c r="DY2" s="716"/>
      <c r="DZ2" s="716"/>
      <c r="EA2" s="716"/>
      <c r="EB2" s="716"/>
      <c r="EC2" s="716"/>
      <c r="ED2" s="716"/>
      <c r="EE2" s="716"/>
      <c r="EF2" s="716"/>
      <c r="EG2" s="716"/>
      <c r="EH2" s="716"/>
      <c r="EI2" s="716"/>
      <c r="EJ2" s="716"/>
      <c r="EK2" s="716"/>
      <c r="EL2" s="716"/>
      <c r="EM2" s="716"/>
      <c r="EN2" s="716"/>
      <c r="EO2" s="716"/>
      <c r="EP2" s="716"/>
      <c r="EQ2" s="716"/>
      <c r="ER2" s="716"/>
      <c r="ES2" s="716"/>
      <c r="ET2" s="716"/>
      <c r="EU2" s="716"/>
      <c r="EV2" s="716"/>
      <c r="EW2" s="716"/>
      <c r="EX2" s="716"/>
      <c r="EY2" s="716"/>
      <c r="EZ2" s="716"/>
      <c r="FA2" s="716"/>
      <c r="FB2" s="716"/>
      <c r="FC2" s="716"/>
      <c r="FD2" s="716"/>
      <c r="FE2" s="716"/>
      <c r="FF2" s="716"/>
      <c r="FG2" s="716"/>
      <c r="FH2" s="716"/>
      <c r="FI2" s="716"/>
      <c r="FJ2" s="716"/>
      <c r="FK2" s="716"/>
      <c r="FL2" s="716"/>
      <c r="FM2" s="716"/>
      <c r="FN2" s="716"/>
      <c r="FO2" s="716"/>
      <c r="FP2" s="716"/>
      <c r="FQ2" s="716"/>
      <c r="FR2" s="716"/>
      <c r="FS2" s="716"/>
      <c r="FT2" s="716"/>
      <c r="FU2" s="716"/>
      <c r="FV2" s="716"/>
      <c r="FW2" s="716"/>
      <c r="FX2" s="716"/>
      <c r="FY2" s="716"/>
      <c r="FZ2" s="716"/>
      <c r="GA2" s="716"/>
    </row>
    <row r="3" spans="1:183" x14ac:dyDescent="0.25">
      <c r="C3" s="1416"/>
      <c r="D3" s="1416"/>
      <c r="E3" s="1416"/>
      <c r="F3" s="1416"/>
      <c r="G3" s="1416"/>
      <c r="H3" s="1416"/>
      <c r="R3" s="724" t="s">
        <v>532</v>
      </c>
      <c r="S3" s="725"/>
      <c r="T3" s="726">
        <v>65.97</v>
      </c>
      <c r="U3" s="727">
        <v>18.7</v>
      </c>
      <c r="V3" s="27">
        <v>37.4</v>
      </c>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716"/>
      <c r="BH3" s="716"/>
      <c r="BI3" s="716"/>
      <c r="BJ3" s="716"/>
      <c r="BK3" s="716"/>
      <c r="BL3" s="716"/>
      <c r="BM3" s="716"/>
      <c r="BN3" s="716"/>
      <c r="BO3" s="716"/>
      <c r="BP3" s="716"/>
      <c r="BQ3" s="716"/>
      <c r="BR3" s="716"/>
      <c r="BS3" s="716"/>
      <c r="BT3" s="716"/>
      <c r="BU3" s="716"/>
      <c r="BV3" s="716"/>
      <c r="BW3" s="716"/>
      <c r="BX3" s="716"/>
      <c r="BY3" s="716"/>
      <c r="BZ3" s="716"/>
      <c r="CA3" s="716"/>
      <c r="CB3" s="716"/>
      <c r="CC3" s="716"/>
      <c r="CD3" s="716"/>
      <c r="CE3" s="716"/>
      <c r="CF3" s="716"/>
      <c r="CG3" s="716"/>
      <c r="CH3" s="716"/>
      <c r="CI3" s="716"/>
      <c r="CJ3" s="716"/>
      <c r="CK3" s="716"/>
      <c r="CL3" s="716"/>
      <c r="CM3" s="716"/>
      <c r="CN3" s="716"/>
      <c r="CO3" s="716"/>
      <c r="CP3" s="716"/>
      <c r="CQ3" s="716"/>
      <c r="CR3" s="716"/>
      <c r="CS3" s="716"/>
      <c r="CT3" s="716"/>
      <c r="CU3" s="716"/>
      <c r="CV3" s="716"/>
      <c r="CW3" s="716"/>
      <c r="CX3" s="716"/>
      <c r="CY3" s="716"/>
      <c r="CZ3" s="716"/>
      <c r="DA3" s="716"/>
      <c r="DB3" s="716"/>
      <c r="DC3" s="716"/>
      <c r="DD3" s="716"/>
      <c r="DE3" s="716"/>
      <c r="DF3" s="716"/>
      <c r="DG3" s="716"/>
      <c r="DH3" s="716"/>
      <c r="DI3" s="716"/>
      <c r="DJ3" s="716"/>
      <c r="DK3" s="716"/>
      <c r="DL3" s="716"/>
      <c r="DM3" s="716"/>
      <c r="DN3" s="716"/>
      <c r="DO3" s="716"/>
      <c r="DP3" s="716"/>
      <c r="DQ3" s="716"/>
      <c r="DR3" s="716"/>
      <c r="DS3" s="716"/>
      <c r="DT3" s="716"/>
      <c r="DU3" s="716"/>
      <c r="DV3" s="716"/>
      <c r="DW3" s="716"/>
      <c r="DX3" s="716"/>
      <c r="DY3" s="716"/>
      <c r="DZ3" s="716"/>
      <c r="EA3" s="716"/>
      <c r="EB3" s="716"/>
      <c r="EC3" s="716"/>
      <c r="ED3" s="716"/>
      <c r="EE3" s="716"/>
      <c r="EF3" s="716"/>
      <c r="EG3" s="716"/>
      <c r="EH3" s="716"/>
      <c r="EI3" s="716"/>
      <c r="EJ3" s="716"/>
      <c r="EK3" s="716"/>
      <c r="EL3" s="716"/>
      <c r="EM3" s="716"/>
      <c r="EN3" s="716"/>
      <c r="EO3" s="716"/>
      <c r="EP3" s="716"/>
      <c r="EQ3" s="716"/>
      <c r="ER3" s="716"/>
      <c r="ES3" s="716"/>
      <c r="ET3" s="716"/>
      <c r="EU3" s="716"/>
      <c r="EV3" s="716"/>
      <c r="EW3" s="716"/>
      <c r="EX3" s="716"/>
      <c r="EY3" s="716"/>
      <c r="EZ3" s="716"/>
      <c r="FA3" s="716"/>
      <c r="FB3" s="716"/>
      <c r="FC3" s="716"/>
      <c r="FD3" s="716"/>
      <c r="FE3" s="716"/>
      <c r="FF3" s="716"/>
      <c r="FG3" s="716"/>
      <c r="FH3" s="716"/>
      <c r="FI3" s="716"/>
      <c r="FJ3" s="716"/>
      <c r="FK3" s="716"/>
      <c r="FL3" s="716"/>
      <c r="FM3" s="716"/>
      <c r="FN3" s="716"/>
      <c r="FO3" s="716"/>
      <c r="FP3" s="716"/>
      <c r="FQ3" s="716"/>
      <c r="FR3" s="716"/>
      <c r="FS3" s="716"/>
      <c r="FT3" s="716"/>
      <c r="FU3" s="716"/>
      <c r="FV3" s="716"/>
      <c r="FW3" s="716"/>
      <c r="FX3" s="716"/>
      <c r="FY3" s="716"/>
      <c r="FZ3" s="716"/>
      <c r="GA3" s="716"/>
    </row>
    <row r="4" spans="1:183" ht="21" x14ac:dyDescent="0.4">
      <c r="C4" s="1417" t="s">
        <v>533</v>
      </c>
      <c r="D4" s="1417"/>
      <c r="E4" s="1417"/>
      <c r="F4" s="1417"/>
      <c r="G4" s="1417"/>
      <c r="H4" s="1417"/>
      <c r="I4" s="1417"/>
      <c r="R4" s="724" t="s">
        <v>534</v>
      </c>
      <c r="S4" s="725"/>
      <c r="T4" s="726">
        <v>64.27</v>
      </c>
      <c r="U4" s="727">
        <v>20.41</v>
      </c>
      <c r="V4" s="27">
        <v>40.82</v>
      </c>
      <c r="AG4" s="716"/>
      <c r="AH4" s="716"/>
      <c r="AI4" s="716"/>
      <c r="AJ4" s="716"/>
      <c r="AK4" s="716"/>
      <c r="AL4" s="716"/>
      <c r="AM4" s="716"/>
      <c r="AN4" s="716"/>
      <c r="AO4" s="716"/>
      <c r="AP4" s="716"/>
      <c r="AQ4" s="716"/>
      <c r="AR4" s="716"/>
      <c r="AS4" s="716"/>
      <c r="AT4" s="716"/>
      <c r="AU4" s="716"/>
      <c r="AV4" s="716"/>
      <c r="AW4" s="716"/>
      <c r="AX4" s="716"/>
      <c r="AY4" s="716"/>
      <c r="AZ4" s="716"/>
      <c r="BA4" s="716"/>
      <c r="BB4" s="716"/>
      <c r="BC4" s="716"/>
      <c r="BD4" s="716"/>
      <c r="BE4" s="716"/>
      <c r="BF4" s="716"/>
      <c r="BG4" s="716"/>
      <c r="BH4" s="716"/>
      <c r="BI4" s="716"/>
      <c r="BJ4" s="716"/>
      <c r="BK4" s="716"/>
      <c r="BL4" s="716"/>
      <c r="BM4" s="716"/>
      <c r="BN4" s="716"/>
      <c r="BO4" s="716"/>
      <c r="BP4" s="716"/>
      <c r="BQ4" s="716"/>
      <c r="BR4" s="716"/>
      <c r="BS4" s="716"/>
      <c r="BT4" s="716"/>
      <c r="BU4" s="716"/>
      <c r="BV4" s="716"/>
      <c r="BW4" s="716"/>
      <c r="BX4" s="716"/>
      <c r="BY4" s="716"/>
      <c r="BZ4" s="716"/>
      <c r="CA4" s="716"/>
      <c r="CB4" s="716"/>
      <c r="CC4" s="716"/>
      <c r="CD4" s="716"/>
      <c r="CE4" s="716"/>
      <c r="CF4" s="716"/>
      <c r="CG4" s="716"/>
      <c r="CH4" s="716"/>
      <c r="CI4" s="716"/>
      <c r="CJ4" s="716"/>
      <c r="CK4" s="716"/>
      <c r="CL4" s="716"/>
      <c r="CM4" s="716"/>
      <c r="CN4" s="716"/>
      <c r="CO4" s="716"/>
      <c r="CP4" s="716"/>
      <c r="CQ4" s="716"/>
      <c r="CR4" s="716"/>
      <c r="CS4" s="716"/>
      <c r="CT4" s="716"/>
      <c r="CU4" s="716"/>
      <c r="CV4" s="716"/>
      <c r="CW4" s="716"/>
      <c r="CX4" s="716"/>
      <c r="CY4" s="716"/>
      <c r="CZ4" s="716"/>
      <c r="DA4" s="716"/>
      <c r="DB4" s="716"/>
      <c r="DC4" s="716"/>
      <c r="DD4" s="716"/>
      <c r="DE4" s="716"/>
      <c r="DF4" s="716"/>
      <c r="DG4" s="716"/>
      <c r="DH4" s="716"/>
      <c r="DI4" s="716"/>
      <c r="DJ4" s="716"/>
      <c r="DK4" s="716"/>
      <c r="DL4" s="716"/>
      <c r="DM4" s="716"/>
      <c r="DN4" s="716"/>
      <c r="DO4" s="716"/>
      <c r="DP4" s="716"/>
      <c r="DQ4" s="716"/>
      <c r="DR4" s="716"/>
      <c r="DS4" s="716"/>
      <c r="DT4" s="716"/>
      <c r="DU4" s="716"/>
      <c r="DV4" s="716"/>
      <c r="DW4" s="716"/>
      <c r="DX4" s="716"/>
      <c r="DY4" s="716"/>
      <c r="DZ4" s="716"/>
      <c r="EA4" s="716"/>
      <c r="EB4" s="716"/>
      <c r="EC4" s="716"/>
      <c r="ED4" s="716"/>
      <c r="EE4" s="716"/>
      <c r="EF4" s="716"/>
      <c r="EG4" s="716"/>
      <c r="EH4" s="716"/>
      <c r="EI4" s="716"/>
      <c r="EJ4" s="716"/>
      <c r="EK4" s="716"/>
      <c r="EL4" s="716"/>
      <c r="EM4" s="716"/>
      <c r="EN4" s="716"/>
      <c r="EO4" s="716"/>
      <c r="EP4" s="716"/>
      <c r="EQ4" s="716"/>
      <c r="ER4" s="716"/>
      <c r="ES4" s="716"/>
      <c r="ET4" s="716"/>
      <c r="EU4" s="716"/>
      <c r="EV4" s="716"/>
      <c r="EW4" s="716"/>
      <c r="EX4" s="716"/>
      <c r="EY4" s="716"/>
      <c r="EZ4" s="716"/>
      <c r="FA4" s="716"/>
      <c r="FB4" s="716"/>
      <c r="FC4" s="716"/>
      <c r="FD4" s="716"/>
      <c r="FE4" s="716"/>
      <c r="FF4" s="716"/>
      <c r="FG4" s="716"/>
      <c r="FH4" s="716"/>
      <c r="FI4" s="716"/>
      <c r="FJ4" s="716"/>
      <c r="FK4" s="716"/>
      <c r="FL4" s="716"/>
      <c r="FM4" s="716"/>
      <c r="FN4" s="716"/>
      <c r="FO4" s="716"/>
      <c r="FP4" s="716"/>
      <c r="FQ4" s="716"/>
      <c r="FR4" s="716"/>
      <c r="FS4" s="716"/>
      <c r="FT4" s="716"/>
      <c r="FU4" s="716"/>
      <c r="FV4" s="716"/>
      <c r="FW4" s="716"/>
      <c r="FX4" s="716"/>
      <c r="FY4" s="716"/>
      <c r="FZ4" s="716"/>
      <c r="GA4" s="716"/>
    </row>
    <row r="6" spans="1:183" x14ac:dyDescent="0.25">
      <c r="R6" s="718" t="s">
        <v>535</v>
      </c>
      <c r="T6" s="728">
        <v>0</v>
      </c>
      <c r="U6" s="894" t="s">
        <v>528</v>
      </c>
      <c r="AG6" s="716"/>
      <c r="AH6" s="716"/>
      <c r="AI6" s="716"/>
      <c r="AJ6" s="716"/>
      <c r="AK6" s="716"/>
      <c r="AL6" s="716"/>
      <c r="AM6" s="716"/>
      <c r="AN6" s="716"/>
      <c r="AO6" s="716"/>
      <c r="AP6" s="716"/>
      <c r="AQ6" s="716"/>
      <c r="AR6" s="716"/>
      <c r="AS6" s="716"/>
      <c r="AT6" s="716"/>
      <c r="AU6" s="716"/>
      <c r="AV6" s="716"/>
      <c r="AW6" s="716"/>
      <c r="AX6" s="716"/>
      <c r="AY6" s="716"/>
      <c r="AZ6" s="716"/>
      <c r="BA6" s="716"/>
      <c r="BB6" s="716"/>
      <c r="BC6" s="716"/>
      <c r="BD6" s="716"/>
      <c r="BE6" s="716"/>
      <c r="BF6" s="716"/>
      <c r="BG6" s="716"/>
      <c r="BH6" s="716"/>
      <c r="BI6" s="716"/>
      <c r="BJ6" s="716"/>
      <c r="BK6" s="716"/>
      <c r="BL6" s="716"/>
      <c r="BM6" s="716"/>
      <c r="BN6" s="716"/>
      <c r="BO6" s="716"/>
      <c r="BP6" s="716"/>
      <c r="BQ6" s="716"/>
      <c r="BR6" s="716"/>
      <c r="BS6" s="716"/>
      <c r="BT6" s="716"/>
      <c r="BU6" s="716"/>
      <c r="BV6" s="716"/>
      <c r="BW6" s="716"/>
      <c r="BX6" s="716"/>
      <c r="BY6" s="716"/>
      <c r="BZ6" s="716"/>
      <c r="CA6" s="716"/>
      <c r="CB6" s="716"/>
      <c r="CC6" s="716"/>
      <c r="CD6" s="716"/>
      <c r="CE6" s="716"/>
      <c r="CF6" s="716"/>
      <c r="CG6" s="716"/>
      <c r="CH6" s="716"/>
      <c r="CI6" s="716"/>
      <c r="CJ6" s="716"/>
      <c r="CK6" s="716"/>
      <c r="CL6" s="716"/>
      <c r="CM6" s="716"/>
      <c r="CN6" s="716"/>
      <c r="CO6" s="716"/>
      <c r="CP6" s="716"/>
      <c r="CQ6" s="716"/>
      <c r="CR6" s="716"/>
      <c r="CS6" s="716"/>
      <c r="CT6" s="716"/>
      <c r="CU6" s="716"/>
      <c r="CV6" s="716"/>
      <c r="CW6" s="716"/>
      <c r="CX6" s="716"/>
      <c r="CY6" s="716"/>
      <c r="CZ6" s="716"/>
      <c r="DA6" s="716"/>
      <c r="DB6" s="716"/>
      <c r="DC6" s="716"/>
      <c r="DD6" s="716"/>
      <c r="DE6" s="716"/>
      <c r="DF6" s="716"/>
      <c r="DG6" s="716"/>
      <c r="DH6" s="716"/>
      <c r="DI6" s="716"/>
      <c r="DJ6" s="716"/>
      <c r="DK6" s="716"/>
      <c r="DL6" s="716"/>
      <c r="DM6" s="716"/>
      <c r="DN6" s="716"/>
      <c r="DO6" s="716"/>
      <c r="DP6" s="716"/>
      <c r="DQ6" s="716"/>
      <c r="DR6" s="716"/>
      <c r="DS6" s="716"/>
      <c r="DT6" s="716"/>
      <c r="DU6" s="716"/>
      <c r="DV6" s="716"/>
      <c r="DW6" s="716"/>
      <c r="DX6" s="716"/>
      <c r="DY6" s="716"/>
      <c r="DZ6" s="716"/>
      <c r="EA6" s="716"/>
      <c r="EB6" s="716"/>
      <c r="EC6" s="716"/>
      <c r="ED6" s="716"/>
      <c r="EE6" s="716"/>
      <c r="EF6" s="716"/>
      <c r="EG6" s="716"/>
      <c r="EH6" s="716"/>
      <c r="EI6" s="716"/>
      <c r="EJ6" s="716"/>
      <c r="EK6" s="716"/>
      <c r="EL6" s="716"/>
      <c r="EM6" s="716"/>
      <c r="EN6" s="716"/>
      <c r="EO6" s="716"/>
      <c r="EP6" s="716"/>
      <c r="EQ6" s="716"/>
      <c r="ER6" s="716"/>
      <c r="ES6" s="716"/>
      <c r="ET6" s="716"/>
      <c r="EU6" s="716"/>
      <c r="EV6" s="716"/>
      <c r="EW6" s="716"/>
      <c r="EX6" s="716"/>
      <c r="EY6" s="716"/>
      <c r="EZ6" s="716"/>
      <c r="FA6" s="716"/>
      <c r="FB6" s="716"/>
      <c r="FC6" s="716"/>
      <c r="FD6" s="716"/>
      <c r="FE6" s="716"/>
      <c r="FF6" s="716"/>
      <c r="FG6" s="716"/>
      <c r="FH6" s="716"/>
      <c r="FI6" s="716"/>
      <c r="FJ6" s="716"/>
      <c r="FK6" s="716"/>
      <c r="FL6" s="716"/>
      <c r="FM6" s="716"/>
      <c r="FN6" s="716"/>
      <c r="FO6" s="716"/>
      <c r="FP6" s="716"/>
      <c r="FQ6" s="716"/>
      <c r="FR6" s="716"/>
      <c r="FS6" s="716"/>
      <c r="FT6" s="716"/>
      <c r="FU6" s="716"/>
      <c r="FV6" s="716"/>
      <c r="FW6" s="716"/>
      <c r="FX6" s="716"/>
      <c r="FY6" s="716"/>
      <c r="FZ6" s="716"/>
      <c r="GA6" s="716"/>
    </row>
    <row r="7" spans="1:183" x14ac:dyDescent="0.25">
      <c r="B7" s="812" t="s">
        <v>120</v>
      </c>
      <c r="C7" s="1024" t="str">
        <f>IF(D67&lt;&gt;"","Para cumplimentar correctamente la liquidación, antes de imprimir atienda a los mensajes","")</f>
        <v>Para cumplimentar correctamente la liquidación, antes de imprimir atienda a los mensajes</v>
      </c>
      <c r="D7" s="1024"/>
      <c r="E7" s="1024"/>
      <c r="F7" s="1024"/>
      <c r="G7" s="1024"/>
      <c r="H7" s="1024"/>
      <c r="I7" s="1024"/>
      <c r="R7" s="718" t="str">
        <f>IF(C15="","",C15)</f>
        <v/>
      </c>
      <c r="T7" s="728">
        <v>0.15</v>
      </c>
      <c r="U7" s="895" t="s">
        <v>532</v>
      </c>
      <c r="V7" s="726">
        <v>65.97</v>
      </c>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6"/>
      <c r="CQ7" s="716"/>
      <c r="CR7" s="716"/>
      <c r="CS7" s="716"/>
      <c r="CT7" s="716"/>
      <c r="CU7" s="716"/>
      <c r="CV7" s="716"/>
      <c r="CW7" s="716"/>
      <c r="CX7" s="716"/>
      <c r="CY7" s="716"/>
      <c r="CZ7" s="716"/>
      <c r="DA7" s="716"/>
      <c r="DB7" s="716"/>
      <c r="DC7" s="716"/>
      <c r="DD7" s="716"/>
      <c r="DE7" s="716"/>
      <c r="DF7" s="716"/>
      <c r="DG7" s="716"/>
      <c r="DH7" s="716"/>
      <c r="DI7" s="716"/>
      <c r="DJ7" s="716"/>
      <c r="DK7" s="716"/>
      <c r="DL7" s="716"/>
      <c r="DM7" s="716"/>
      <c r="DN7" s="716"/>
      <c r="DO7" s="716"/>
      <c r="DP7" s="716"/>
      <c r="DQ7" s="716"/>
      <c r="DR7" s="716"/>
      <c r="DS7" s="716"/>
      <c r="DT7" s="716"/>
      <c r="DU7" s="716"/>
      <c r="DV7" s="716"/>
      <c r="DW7" s="716"/>
      <c r="DX7" s="716"/>
      <c r="DY7" s="716"/>
      <c r="DZ7" s="716"/>
      <c r="EA7" s="716"/>
      <c r="EB7" s="716"/>
      <c r="EC7" s="716"/>
      <c r="ED7" s="716"/>
      <c r="EE7" s="716"/>
      <c r="EF7" s="716"/>
      <c r="EG7" s="716"/>
      <c r="EH7" s="716"/>
      <c r="EI7" s="716"/>
      <c r="EJ7" s="716"/>
      <c r="EK7" s="716"/>
      <c r="EL7" s="716"/>
      <c r="EM7" s="716"/>
      <c r="EN7" s="716"/>
      <c r="EO7" s="716"/>
      <c r="EP7" s="716"/>
      <c r="EQ7" s="716"/>
      <c r="ER7" s="716"/>
      <c r="ES7" s="716"/>
      <c r="ET7" s="716"/>
      <c r="EU7" s="716"/>
      <c r="EV7" s="716"/>
      <c r="EW7" s="716"/>
      <c r="EX7" s="716"/>
      <c r="EY7" s="716"/>
      <c r="EZ7" s="716"/>
      <c r="FA7" s="716"/>
      <c r="FB7" s="716"/>
      <c r="FC7" s="716"/>
      <c r="FD7" s="716"/>
      <c r="FE7" s="716"/>
      <c r="FF7" s="716"/>
      <c r="FG7" s="716"/>
      <c r="FH7" s="716"/>
      <c r="FI7" s="716"/>
      <c r="FJ7" s="716"/>
      <c r="FK7" s="716"/>
      <c r="FL7" s="716"/>
      <c r="FM7" s="716"/>
      <c r="FN7" s="716"/>
      <c r="FO7" s="716"/>
      <c r="FP7" s="716"/>
      <c r="FQ7" s="716"/>
      <c r="FR7" s="716"/>
      <c r="FS7" s="716"/>
      <c r="FT7" s="716"/>
      <c r="FU7" s="716"/>
      <c r="FV7" s="716"/>
      <c r="FW7" s="716"/>
      <c r="FX7" s="716"/>
      <c r="FY7" s="716"/>
      <c r="FZ7" s="716"/>
      <c r="GA7" s="716"/>
    </row>
    <row r="8" spans="1:183" ht="13.8" x14ac:dyDescent="0.25">
      <c r="C8" s="16" t="str">
        <f>IF(D67&lt;&gt;"","que van apareciendo y siga sus instrucciones.Guarde esta liquidación para justificar el viaje o posibles incidencias.","")</f>
        <v>que van apareciendo y siga sus instrucciones.Guarde esta liquidación para justificar el viaje o posibles incidencias.</v>
      </c>
      <c r="D8" s="158"/>
      <c r="E8" s="158"/>
      <c r="F8" s="158"/>
      <c r="G8" s="158"/>
      <c r="H8" s="158"/>
      <c r="I8" s="158"/>
      <c r="R8" s="718" t="s">
        <v>536</v>
      </c>
      <c r="T8" s="728">
        <v>0.19</v>
      </c>
      <c r="U8" s="895" t="s">
        <v>534</v>
      </c>
      <c r="V8" s="726">
        <v>64.27</v>
      </c>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716"/>
      <c r="BW8" s="716"/>
      <c r="BX8" s="716"/>
      <c r="BY8" s="716"/>
      <c r="BZ8" s="716"/>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716"/>
      <c r="EN8" s="716"/>
      <c r="EO8" s="716"/>
      <c r="EP8" s="716"/>
      <c r="EQ8" s="716"/>
      <c r="ER8" s="716"/>
      <c r="ES8" s="716"/>
      <c r="ET8" s="716"/>
      <c r="EU8" s="716"/>
      <c r="EV8" s="716"/>
      <c r="EW8" s="716"/>
      <c r="EX8" s="716"/>
      <c r="EY8" s="716"/>
      <c r="EZ8" s="716"/>
      <c r="FA8" s="716"/>
      <c r="FB8" s="716"/>
      <c r="FC8" s="716"/>
      <c r="FD8" s="716"/>
      <c r="FE8" s="716"/>
      <c r="FF8" s="716"/>
      <c r="FG8" s="716"/>
      <c r="FH8" s="716"/>
      <c r="FI8" s="716"/>
      <c r="FJ8" s="716"/>
      <c r="FK8" s="716"/>
      <c r="FL8" s="716"/>
      <c r="FM8" s="716"/>
      <c r="FN8" s="716"/>
      <c r="FO8" s="716"/>
      <c r="FP8" s="716"/>
      <c r="FQ8" s="716"/>
      <c r="FR8" s="716"/>
      <c r="FS8" s="716"/>
      <c r="FT8" s="716"/>
      <c r="FU8" s="716"/>
      <c r="FV8" s="716"/>
      <c r="FW8" s="716"/>
      <c r="FX8" s="716"/>
      <c r="FY8" s="716"/>
      <c r="FZ8" s="716"/>
      <c r="GA8" s="716"/>
    </row>
    <row r="9" spans="1:183" x14ac:dyDescent="0.25">
      <c r="B9" s="16"/>
      <c r="C9" s="16"/>
      <c r="D9" s="16"/>
      <c r="E9" s="16"/>
      <c r="F9" s="16"/>
      <c r="G9" s="16"/>
      <c r="H9" s="16"/>
      <c r="I9" s="16"/>
      <c r="R9" s="718" t="s">
        <v>537</v>
      </c>
      <c r="T9" s="728">
        <v>0.19500000000000001</v>
      </c>
      <c r="U9" s="896" t="s">
        <v>684</v>
      </c>
      <c r="V9" s="27">
        <v>90</v>
      </c>
      <c r="AG9" s="716"/>
      <c r="AH9" s="716"/>
      <c r="AI9" s="716"/>
      <c r="AJ9" s="716"/>
      <c r="AK9" s="716"/>
      <c r="AL9" s="716"/>
      <c r="AM9" s="716"/>
      <c r="AN9" s="716"/>
      <c r="AO9" s="716"/>
      <c r="AP9" s="716"/>
      <c r="AQ9" s="716"/>
      <c r="AR9" s="716"/>
      <c r="AS9" s="716"/>
      <c r="AT9" s="716"/>
      <c r="AU9" s="716"/>
      <c r="AV9" s="716"/>
      <c r="AW9" s="716"/>
      <c r="AX9" s="716"/>
      <c r="AY9" s="716"/>
      <c r="AZ9" s="716"/>
      <c r="BA9" s="716"/>
      <c r="BB9" s="716"/>
      <c r="BC9" s="716"/>
      <c r="BD9" s="716"/>
      <c r="BE9" s="716"/>
      <c r="BF9" s="716"/>
      <c r="BG9" s="716"/>
      <c r="BH9" s="716"/>
      <c r="BI9" s="716"/>
      <c r="BJ9" s="716"/>
      <c r="BK9" s="716"/>
      <c r="BL9" s="716"/>
      <c r="BM9" s="716"/>
      <c r="BN9" s="716"/>
      <c r="BO9" s="716"/>
      <c r="BP9" s="716"/>
      <c r="BQ9" s="716"/>
      <c r="BR9" s="716"/>
      <c r="BS9" s="716"/>
      <c r="BT9" s="716"/>
      <c r="BU9" s="716"/>
      <c r="BV9" s="716"/>
      <c r="BW9" s="716"/>
      <c r="BX9" s="716"/>
      <c r="BY9" s="716"/>
      <c r="BZ9" s="716"/>
      <c r="CA9" s="716"/>
      <c r="CB9" s="716"/>
      <c r="CC9" s="716"/>
      <c r="CD9" s="716"/>
      <c r="CE9" s="716"/>
      <c r="CF9" s="716"/>
      <c r="CG9" s="716"/>
      <c r="CH9" s="716"/>
      <c r="CI9" s="716"/>
      <c r="CJ9" s="716"/>
      <c r="CK9" s="716"/>
      <c r="CL9" s="716"/>
      <c r="CM9" s="716"/>
      <c r="CN9" s="716"/>
      <c r="CO9" s="716"/>
      <c r="CP9" s="716"/>
      <c r="CQ9" s="716"/>
      <c r="CR9" s="716"/>
      <c r="CS9" s="716"/>
      <c r="CT9" s="716"/>
      <c r="CU9" s="716"/>
      <c r="CV9" s="716"/>
      <c r="CW9" s="716"/>
      <c r="CX9" s="716"/>
      <c r="CY9" s="716"/>
      <c r="CZ9" s="716"/>
      <c r="DA9" s="716"/>
      <c r="DB9" s="716"/>
      <c r="DC9" s="716"/>
      <c r="DD9" s="716"/>
      <c r="DE9" s="716"/>
      <c r="DF9" s="716"/>
      <c r="DG9" s="716"/>
      <c r="DH9" s="716"/>
      <c r="DI9" s="716"/>
      <c r="DJ9" s="716"/>
      <c r="DK9" s="716"/>
      <c r="DL9" s="716"/>
      <c r="DM9" s="716"/>
      <c r="DN9" s="716"/>
      <c r="DO9" s="716"/>
      <c r="DP9" s="716"/>
      <c r="DQ9" s="716"/>
      <c r="DR9" s="716"/>
      <c r="DS9" s="716"/>
      <c r="DT9" s="716"/>
      <c r="DU9" s="716"/>
      <c r="DV9" s="716"/>
      <c r="DW9" s="716"/>
      <c r="DX9" s="716"/>
      <c r="DY9" s="716"/>
      <c r="DZ9" s="716"/>
      <c r="EA9" s="716"/>
      <c r="EB9" s="716"/>
      <c r="EC9" s="716"/>
      <c r="ED9" s="716"/>
      <c r="EE9" s="716"/>
      <c r="EF9" s="716"/>
      <c r="EG9" s="716"/>
      <c r="EH9" s="716"/>
      <c r="EI9" s="716"/>
      <c r="EJ9" s="716"/>
      <c r="EK9" s="716"/>
      <c r="EL9" s="716"/>
      <c r="EM9" s="716"/>
      <c r="EN9" s="716"/>
      <c r="EO9" s="716"/>
      <c r="EP9" s="716"/>
      <c r="EQ9" s="716"/>
      <c r="ER9" s="716"/>
      <c r="ES9" s="716"/>
      <c r="ET9" s="716"/>
      <c r="EU9" s="716"/>
      <c r="EV9" s="716"/>
      <c r="EW9" s="716"/>
      <c r="EX9" s="716"/>
      <c r="EY9" s="716"/>
      <c r="EZ9" s="716"/>
      <c r="FA9" s="716"/>
      <c r="FB9" s="716"/>
      <c r="FC9" s="716"/>
      <c r="FD9" s="716"/>
      <c r="FE9" s="716"/>
      <c r="FF9" s="716"/>
      <c r="FG9" s="716"/>
      <c r="FH9" s="716"/>
      <c r="FI9" s="716"/>
      <c r="FJ9" s="716"/>
      <c r="FK9" s="716"/>
      <c r="FL9" s="716"/>
      <c r="FM9" s="716"/>
      <c r="FN9" s="716"/>
      <c r="FO9" s="716"/>
      <c r="FP9" s="716"/>
      <c r="FQ9" s="716"/>
      <c r="FR9" s="716"/>
      <c r="FS9" s="716"/>
      <c r="FT9" s="716"/>
      <c r="FU9" s="716"/>
      <c r="FV9" s="716"/>
      <c r="FW9" s="716"/>
      <c r="FX9" s="716"/>
      <c r="FY9" s="716"/>
      <c r="FZ9" s="716"/>
      <c r="GA9" s="716"/>
    </row>
    <row r="10" spans="1:183" x14ac:dyDescent="0.25">
      <c r="C10" s="1025"/>
      <c r="D10" s="1025"/>
      <c r="E10" s="1025"/>
      <c r="F10" s="1025"/>
      <c r="G10" s="1025"/>
      <c r="H10" s="1025"/>
      <c r="I10" s="1025"/>
      <c r="R10" s="718"/>
      <c r="T10" s="728">
        <v>0.2</v>
      </c>
      <c r="U10" s="896" t="s">
        <v>685</v>
      </c>
      <c r="V10" s="27">
        <v>120</v>
      </c>
      <c r="AG10" s="716"/>
      <c r="AH10" s="716"/>
      <c r="AI10" s="716"/>
      <c r="AJ10" s="716"/>
      <c r="AK10" s="716"/>
      <c r="AL10" s="716"/>
      <c r="AM10" s="716"/>
      <c r="AN10" s="716"/>
      <c r="AO10" s="716"/>
      <c r="AP10" s="716"/>
      <c r="AQ10" s="716"/>
      <c r="AR10" s="716"/>
      <c r="AS10" s="716"/>
      <c r="AT10" s="716"/>
      <c r="AU10" s="716"/>
      <c r="AV10" s="716"/>
      <c r="AW10" s="716"/>
      <c r="AX10" s="716"/>
      <c r="AY10" s="716"/>
      <c r="AZ10" s="716"/>
      <c r="BA10" s="716"/>
      <c r="BB10" s="716"/>
      <c r="BC10" s="716"/>
      <c r="BD10" s="716"/>
      <c r="BE10" s="716"/>
      <c r="BF10" s="716"/>
      <c r="BG10" s="716"/>
      <c r="BH10" s="716"/>
      <c r="BI10" s="716"/>
      <c r="BJ10" s="716"/>
      <c r="BK10" s="716"/>
      <c r="BL10" s="716"/>
      <c r="BM10" s="716"/>
      <c r="BN10" s="716"/>
      <c r="BO10" s="716"/>
      <c r="BP10" s="716"/>
      <c r="BQ10" s="716"/>
      <c r="BR10" s="716"/>
      <c r="BS10" s="716"/>
      <c r="BT10" s="716"/>
      <c r="BU10" s="716"/>
      <c r="BV10" s="716"/>
      <c r="BW10" s="716"/>
      <c r="BX10" s="716"/>
      <c r="BY10" s="716"/>
      <c r="BZ10" s="716"/>
      <c r="CA10" s="716"/>
      <c r="CB10" s="716"/>
      <c r="CC10" s="716"/>
      <c r="CD10" s="716"/>
      <c r="CE10" s="716"/>
      <c r="CF10" s="716"/>
      <c r="CG10" s="716"/>
      <c r="CH10" s="716"/>
      <c r="CI10" s="716"/>
      <c r="CJ10" s="716"/>
      <c r="CK10" s="716"/>
      <c r="CL10" s="716"/>
      <c r="CM10" s="716"/>
      <c r="CN10" s="716"/>
      <c r="CO10" s="716"/>
      <c r="CP10" s="716"/>
      <c r="CQ10" s="716"/>
      <c r="CR10" s="716"/>
      <c r="CS10" s="716"/>
      <c r="CT10" s="716"/>
      <c r="CU10" s="716"/>
      <c r="CV10" s="716"/>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c r="DS10" s="716"/>
      <c r="DT10" s="716"/>
      <c r="DU10" s="716"/>
      <c r="DV10" s="716"/>
      <c r="DW10" s="716"/>
      <c r="DX10" s="716"/>
      <c r="DY10" s="716"/>
      <c r="DZ10" s="716"/>
      <c r="EA10" s="716"/>
      <c r="EB10" s="716"/>
      <c r="EC10" s="716"/>
      <c r="ED10" s="716"/>
      <c r="EE10" s="716"/>
      <c r="EF10" s="716"/>
      <c r="EG10" s="716"/>
      <c r="EH10" s="716"/>
      <c r="EI10" s="716"/>
      <c r="EJ10" s="716"/>
      <c r="EK10" s="716"/>
      <c r="EL10" s="716"/>
      <c r="EM10" s="716"/>
      <c r="EN10" s="716"/>
      <c r="EO10" s="716"/>
      <c r="EP10" s="716"/>
      <c r="EQ10" s="716"/>
      <c r="ER10" s="716"/>
      <c r="ES10" s="716"/>
      <c r="ET10" s="716"/>
      <c r="EU10" s="716"/>
      <c r="EV10" s="716"/>
      <c r="EW10" s="716"/>
      <c r="EX10" s="716"/>
      <c r="EY10" s="716"/>
      <c r="EZ10" s="716"/>
      <c r="FA10" s="716"/>
      <c r="FB10" s="716"/>
      <c r="FC10" s="716"/>
      <c r="FD10" s="716"/>
      <c r="FE10" s="716"/>
      <c r="FF10" s="716"/>
      <c r="FG10" s="716"/>
      <c r="FH10" s="716"/>
      <c r="FI10" s="716"/>
      <c r="FJ10" s="716"/>
      <c r="FK10" s="716"/>
      <c r="FL10" s="716"/>
      <c r="FM10" s="716"/>
      <c r="FN10" s="716"/>
      <c r="FO10" s="716"/>
      <c r="FP10" s="716"/>
      <c r="FQ10" s="716"/>
      <c r="FR10" s="716"/>
      <c r="FS10" s="716"/>
      <c r="FT10" s="716"/>
      <c r="FU10" s="716"/>
      <c r="FV10" s="716"/>
      <c r="FW10" s="716"/>
      <c r="FX10" s="716"/>
      <c r="FY10" s="716"/>
      <c r="FZ10" s="716"/>
      <c r="GA10" s="716"/>
    </row>
    <row r="11" spans="1:183" ht="15" x14ac:dyDescent="0.25">
      <c r="B11" s="717"/>
      <c r="C11" s="1401" t="str">
        <f>IF(C12="","ESCRIBA SU NOMBRE",IF(C13="","FALTA INDICAR EL PROYECTO",IF(C14="","INDIQUE LA ORGÁNICA Y PROYECTO",IF(C16="","INDIQUE LA NACIONALIDAD",IF(H16="","INDIQUE EL DNI/ Pasaporte",IF(C17="","INDIQUE EL DOMICILIO",IF(C18="","INDIQUE LA FECHA DE LA ACTIVIDAD",IF(C19="","ESCRIBA EL MOTIVO DE LA CELEBRACIÓN",IF(AND(C31=R6,I31&gt;0),"ELIJA A QUIÉN SE LE ABONA",IF(AND(I31&lt;&gt;0,E31=""),"INDIQUE EL Nº DE NOCHES",IF(AND(C31&lt;&gt;C15,G31="",I31&gt;0),"INDIQUE EL NOMBRE DEL PERCEPTOR",IF(AND(M35&gt;0,C34=R6),"ELIJA A QUIÉN SE LE ABONA",IF(AND(I35&lt;&gt;0,E35=""),"INDIQUE EL Nº DE DÍAS",IF(AND(I35&lt;&gt;0,C36=""),"INDIQUE EL Nº DE COMENSALES",IF(AND(C34&lt;&gt;C15,G36="",I35&gt;0),"INDIQUE EL NOMBRE DEL PERCEPTOR",IF(AND(C34&lt;&gt;C15,G36="",I36&gt;0),"INDIQUE EL NOMBRE DEL PERCEPTOR",""))))))))))))))))</f>
        <v>ESCRIBA SU NOMBRE</v>
      </c>
      <c r="D11" s="1401"/>
      <c r="E11" s="1401"/>
      <c r="F11" s="1401"/>
      <c r="G11" s="1401"/>
      <c r="H11" s="1401"/>
      <c r="R11" s="718" t="s">
        <v>601</v>
      </c>
      <c r="T11" s="728">
        <v>0.24</v>
      </c>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A11" s="716"/>
      <c r="CB11" s="716"/>
      <c r="CC11" s="716"/>
      <c r="CD11" s="716"/>
      <c r="CE11" s="716"/>
      <c r="CF11" s="716"/>
      <c r="CG11" s="716"/>
      <c r="CH11" s="716"/>
      <c r="CI11" s="716"/>
      <c r="CJ11" s="716"/>
      <c r="CK11" s="716"/>
      <c r="CL11" s="716"/>
      <c r="CM11" s="716"/>
      <c r="CN11" s="716"/>
      <c r="CO11" s="716"/>
      <c r="CP11" s="716"/>
      <c r="CQ11" s="716"/>
      <c r="CR11" s="716"/>
      <c r="CS11" s="716"/>
      <c r="CT11" s="716"/>
      <c r="CU11" s="716"/>
      <c r="CV11" s="716"/>
      <c r="CW11" s="716"/>
      <c r="CX11" s="716"/>
      <c r="CY11" s="716"/>
      <c r="CZ11" s="716"/>
      <c r="DA11" s="716"/>
      <c r="DB11" s="716"/>
      <c r="DC11" s="716"/>
      <c r="DD11" s="716"/>
      <c r="DE11" s="716"/>
      <c r="DF11" s="716"/>
      <c r="DG11" s="716"/>
      <c r="DH11" s="716"/>
      <c r="DI11" s="716"/>
      <c r="DJ11" s="716"/>
      <c r="DK11" s="716"/>
      <c r="DL11" s="716"/>
      <c r="DM11" s="716"/>
      <c r="DN11" s="716"/>
      <c r="DO11" s="716"/>
      <c r="DP11" s="716"/>
      <c r="DQ11" s="716"/>
      <c r="DR11" s="716"/>
      <c r="DS11" s="716"/>
      <c r="DT11" s="716"/>
      <c r="DU11" s="716"/>
      <c r="DV11" s="716"/>
      <c r="DW11" s="716"/>
      <c r="DX11" s="716"/>
      <c r="DY11" s="716"/>
      <c r="DZ11" s="716"/>
      <c r="EA11" s="716"/>
      <c r="EB11" s="716"/>
      <c r="EC11" s="716"/>
      <c r="ED11" s="716"/>
      <c r="EE11" s="716"/>
      <c r="EF11" s="716"/>
      <c r="EG11" s="716"/>
      <c r="EH11" s="716"/>
      <c r="EI11" s="716"/>
      <c r="EJ11" s="716"/>
      <c r="EK11" s="716"/>
      <c r="EL11" s="716"/>
      <c r="EM11" s="716"/>
      <c r="EN11" s="716"/>
      <c r="EO11" s="716"/>
      <c r="EP11" s="716"/>
      <c r="EQ11" s="716"/>
      <c r="ER11" s="716"/>
      <c r="ES11" s="716"/>
      <c r="ET11" s="716"/>
      <c r="EU11" s="716"/>
      <c r="EV11" s="716"/>
      <c r="EW11" s="716"/>
      <c r="EX11" s="716"/>
      <c r="EY11" s="716"/>
      <c r="EZ11" s="716"/>
      <c r="FA11" s="716"/>
      <c r="FB11" s="716"/>
      <c r="FC11" s="716"/>
      <c r="FD11" s="716"/>
      <c r="FE11" s="716"/>
      <c r="FF11" s="716"/>
      <c r="FG11" s="716"/>
      <c r="FH11" s="716"/>
      <c r="FI11" s="716"/>
      <c r="FJ11" s="716"/>
      <c r="FK11" s="716"/>
      <c r="FL11" s="716"/>
      <c r="FM11" s="716"/>
      <c r="FN11" s="716"/>
      <c r="FO11" s="716"/>
      <c r="FP11" s="716"/>
      <c r="FQ11" s="716"/>
      <c r="FR11" s="716"/>
      <c r="FS11" s="716"/>
      <c r="FT11" s="716"/>
      <c r="FU11" s="716"/>
      <c r="FV11" s="716"/>
      <c r="FW11" s="716"/>
      <c r="FX11" s="716"/>
      <c r="FY11" s="716"/>
      <c r="FZ11" s="716"/>
      <c r="GA11" s="716"/>
    </row>
    <row r="12" spans="1:183" ht="19.95" customHeight="1" x14ac:dyDescent="0.3">
      <c r="B12" s="721" t="s">
        <v>538</v>
      </c>
      <c r="C12" s="1404"/>
      <c r="D12" s="1404"/>
      <c r="E12" s="1404"/>
      <c r="F12" s="1404"/>
      <c r="G12" s="1404"/>
      <c r="H12" s="1404"/>
      <c r="I12" s="1404"/>
      <c r="AG12" s="716"/>
      <c r="AH12" s="716"/>
      <c r="AI12" s="716"/>
      <c r="AJ12" s="716"/>
      <c r="AK12" s="716"/>
      <c r="AL12" s="716"/>
      <c r="AM12" s="716"/>
      <c r="AN12" s="716"/>
      <c r="AO12" s="716"/>
      <c r="AP12" s="716"/>
      <c r="AQ12" s="716"/>
      <c r="AR12" s="716"/>
      <c r="AS12" s="716"/>
      <c r="AT12" s="716"/>
      <c r="AU12" s="716"/>
      <c r="AV12" s="716"/>
      <c r="AW12" s="716"/>
      <c r="AX12" s="716"/>
      <c r="AY12" s="716"/>
      <c r="AZ12" s="716"/>
      <c r="BA12" s="716"/>
      <c r="BB12" s="716"/>
      <c r="BC12" s="716"/>
      <c r="BD12" s="716"/>
      <c r="BE12" s="716"/>
      <c r="BF12" s="716"/>
      <c r="BG12" s="716"/>
      <c r="BH12" s="716"/>
      <c r="BI12" s="716"/>
      <c r="BJ12" s="716"/>
      <c r="BK12" s="716"/>
      <c r="BL12" s="716"/>
      <c r="BM12" s="716"/>
      <c r="BN12" s="716"/>
      <c r="BO12" s="716"/>
      <c r="BP12" s="716"/>
      <c r="BQ12" s="716"/>
      <c r="BR12" s="716"/>
      <c r="BS12" s="716"/>
      <c r="BT12" s="716"/>
      <c r="BU12" s="716"/>
      <c r="BV12" s="716"/>
      <c r="BW12" s="716"/>
      <c r="BX12" s="716"/>
      <c r="BY12" s="716"/>
      <c r="BZ12" s="716"/>
      <c r="CA12" s="716"/>
      <c r="CB12" s="716"/>
      <c r="CC12" s="716"/>
      <c r="CD12" s="716"/>
      <c r="CE12" s="716"/>
      <c r="CF12" s="716"/>
      <c r="CG12" s="716"/>
      <c r="CH12" s="716"/>
      <c r="CI12" s="716"/>
      <c r="CJ12" s="716"/>
      <c r="CK12" s="716"/>
      <c r="CL12" s="716"/>
      <c r="CM12" s="716"/>
      <c r="CN12" s="716"/>
      <c r="CO12" s="716"/>
      <c r="CP12" s="716"/>
      <c r="CQ12" s="716"/>
      <c r="CR12" s="716"/>
      <c r="CS12" s="716"/>
      <c r="CT12" s="716"/>
      <c r="CU12" s="716"/>
      <c r="CV12" s="716"/>
      <c r="CW12" s="716"/>
      <c r="CX12" s="716"/>
      <c r="CY12" s="716"/>
      <c r="CZ12" s="716"/>
      <c r="DA12" s="716"/>
      <c r="DB12" s="716"/>
      <c r="DC12" s="716"/>
      <c r="DD12" s="716"/>
      <c r="DE12" s="716"/>
      <c r="DF12" s="716"/>
      <c r="DG12" s="716"/>
      <c r="DH12" s="716"/>
      <c r="DI12" s="716"/>
      <c r="DJ12" s="716"/>
      <c r="DK12" s="716"/>
      <c r="DL12" s="716"/>
      <c r="DM12" s="716"/>
      <c r="DN12" s="716"/>
      <c r="DO12" s="716"/>
      <c r="DP12" s="716"/>
      <c r="DQ12" s="716"/>
      <c r="DR12" s="716"/>
      <c r="DS12" s="716"/>
      <c r="DT12" s="716"/>
      <c r="DU12" s="716"/>
      <c r="DV12" s="716"/>
      <c r="DW12" s="716"/>
      <c r="DX12" s="716"/>
      <c r="DY12" s="716"/>
      <c r="DZ12" s="716"/>
      <c r="EA12" s="716"/>
      <c r="EB12" s="716"/>
      <c r="EC12" s="716"/>
      <c r="ED12" s="716"/>
      <c r="EE12" s="716"/>
      <c r="EF12" s="716"/>
      <c r="EG12" s="716"/>
      <c r="EH12" s="716"/>
      <c r="EI12" s="716"/>
      <c r="EJ12" s="716"/>
      <c r="EK12" s="716"/>
      <c r="EL12" s="716"/>
      <c r="EM12" s="716"/>
      <c r="EN12" s="716"/>
      <c r="EO12" s="716"/>
      <c r="EP12" s="716"/>
      <c r="EQ12" s="716"/>
      <c r="ER12" s="716"/>
      <c r="ES12" s="716"/>
      <c r="ET12" s="716"/>
      <c r="EU12" s="716"/>
      <c r="EV12" s="716"/>
      <c r="EW12" s="716"/>
      <c r="EX12" s="716"/>
      <c r="EY12" s="716"/>
      <c r="EZ12" s="716"/>
      <c r="FA12" s="716"/>
      <c r="FB12" s="716"/>
      <c r="FC12" s="716"/>
      <c r="FD12" s="716"/>
      <c r="FE12" s="716"/>
      <c r="FF12" s="716"/>
      <c r="FG12" s="716"/>
      <c r="FH12" s="716"/>
      <c r="FI12" s="716"/>
      <c r="FJ12" s="716"/>
      <c r="FK12" s="716"/>
      <c r="FL12" s="716"/>
      <c r="FM12" s="716"/>
      <c r="FN12" s="716"/>
      <c r="FO12" s="716"/>
      <c r="FP12" s="716"/>
      <c r="FQ12" s="716"/>
      <c r="FR12" s="716"/>
      <c r="FS12" s="716"/>
      <c r="FT12" s="716"/>
      <c r="FU12" s="716"/>
      <c r="FV12" s="716"/>
      <c r="FW12" s="716"/>
      <c r="FX12" s="716"/>
      <c r="FY12" s="716"/>
      <c r="FZ12" s="716"/>
      <c r="GA12" s="716"/>
    </row>
    <row r="13" spans="1:183" ht="19.95" customHeight="1" x14ac:dyDescent="0.3">
      <c r="B13" s="721" t="s">
        <v>539</v>
      </c>
      <c r="C13" s="1405"/>
      <c r="D13" s="1405"/>
      <c r="E13" s="1405"/>
      <c r="F13" s="1405"/>
      <c r="G13" s="1405"/>
      <c r="H13" s="1405"/>
      <c r="I13" s="1405"/>
      <c r="R13" s="862" t="s">
        <v>638</v>
      </c>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716"/>
      <c r="BC13" s="716"/>
      <c r="BD13" s="716"/>
      <c r="BE13" s="716"/>
      <c r="BF13" s="716"/>
      <c r="BG13" s="716"/>
      <c r="BH13" s="716"/>
      <c r="BI13" s="716"/>
      <c r="BJ13" s="716"/>
      <c r="BK13" s="716"/>
      <c r="BL13" s="716"/>
      <c r="BM13" s="716"/>
      <c r="BN13" s="716"/>
      <c r="BO13" s="716"/>
      <c r="BP13" s="716"/>
      <c r="BQ13" s="716"/>
      <c r="BR13" s="716"/>
      <c r="BS13" s="716"/>
      <c r="BT13" s="716"/>
      <c r="BU13" s="716"/>
      <c r="BV13" s="716"/>
      <c r="BW13" s="716"/>
      <c r="BX13" s="716"/>
      <c r="BY13" s="716"/>
      <c r="BZ13" s="716"/>
      <c r="CA13" s="716"/>
      <c r="CB13" s="716"/>
      <c r="CC13" s="716"/>
      <c r="CD13" s="716"/>
      <c r="CE13" s="716"/>
      <c r="CF13" s="716"/>
      <c r="CG13" s="716"/>
      <c r="CH13" s="716"/>
      <c r="CI13" s="716"/>
      <c r="CJ13" s="716"/>
      <c r="CK13" s="716"/>
      <c r="CL13" s="716"/>
      <c r="CM13" s="716"/>
      <c r="CN13" s="716"/>
      <c r="CO13" s="716"/>
      <c r="CP13" s="716"/>
      <c r="CQ13" s="716"/>
      <c r="CR13" s="716"/>
      <c r="CS13" s="716"/>
      <c r="CT13" s="716"/>
      <c r="CU13" s="716"/>
      <c r="CV13" s="716"/>
      <c r="CW13" s="716"/>
      <c r="CX13" s="716"/>
      <c r="CY13" s="716"/>
      <c r="CZ13" s="716"/>
      <c r="DA13" s="716"/>
      <c r="DB13" s="716"/>
      <c r="DC13" s="716"/>
      <c r="DD13" s="716"/>
      <c r="DE13" s="716"/>
      <c r="DF13" s="716"/>
      <c r="DG13" s="716"/>
      <c r="DH13" s="716"/>
      <c r="DI13" s="716"/>
      <c r="DJ13" s="716"/>
      <c r="DK13" s="716"/>
      <c r="DL13" s="716"/>
      <c r="DM13" s="716"/>
      <c r="DN13" s="716"/>
      <c r="DO13" s="716"/>
      <c r="DP13" s="716"/>
      <c r="DQ13" s="716"/>
      <c r="DR13" s="716"/>
      <c r="DS13" s="716"/>
      <c r="DT13" s="716"/>
      <c r="DU13" s="716"/>
      <c r="DV13" s="716"/>
      <c r="DW13" s="716"/>
      <c r="DX13" s="716"/>
      <c r="DY13" s="716"/>
      <c r="DZ13" s="716"/>
      <c r="EA13" s="716"/>
      <c r="EB13" s="716"/>
      <c r="EC13" s="716"/>
      <c r="ED13" s="716"/>
      <c r="EE13" s="716"/>
      <c r="EF13" s="716"/>
      <c r="EG13" s="716"/>
      <c r="EH13" s="716"/>
      <c r="EI13" s="716"/>
      <c r="EJ13" s="716"/>
      <c r="EK13" s="716"/>
      <c r="EL13" s="716"/>
      <c r="EM13" s="716"/>
      <c r="EN13" s="716"/>
      <c r="EO13" s="716"/>
      <c r="EP13" s="716"/>
      <c r="EQ13" s="716"/>
      <c r="ER13" s="716"/>
      <c r="ES13" s="716"/>
      <c r="ET13" s="716"/>
      <c r="EU13" s="716"/>
      <c r="EV13" s="716"/>
      <c r="EW13" s="716"/>
      <c r="EX13" s="716"/>
      <c r="EY13" s="716"/>
      <c r="EZ13" s="716"/>
      <c r="FA13" s="716"/>
      <c r="FB13" s="716"/>
      <c r="FC13" s="716"/>
      <c r="FD13" s="716"/>
      <c r="FE13" s="716"/>
      <c r="FF13" s="716"/>
      <c r="FG13" s="716"/>
      <c r="FH13" s="716"/>
      <c r="FI13" s="716"/>
      <c r="FJ13" s="716"/>
      <c r="FK13" s="716"/>
      <c r="FL13" s="716"/>
      <c r="FM13" s="716"/>
      <c r="FN13" s="716"/>
      <c r="FO13" s="716"/>
      <c r="FP13" s="716"/>
      <c r="FQ13" s="716"/>
      <c r="FR13" s="716"/>
      <c r="FS13" s="716"/>
      <c r="FT13" s="716"/>
      <c r="FU13" s="716"/>
      <c r="FV13" s="716"/>
      <c r="FW13" s="716"/>
      <c r="FX13" s="716"/>
      <c r="FY13" s="716"/>
      <c r="FZ13" s="716"/>
      <c r="GA13" s="716"/>
    </row>
    <row r="14" spans="1:183" ht="19.95" customHeight="1" x14ac:dyDescent="0.3">
      <c r="B14" s="720" t="s">
        <v>540</v>
      </c>
      <c r="C14" s="1406"/>
      <c r="D14" s="1406"/>
      <c r="E14" s="1406"/>
      <c r="F14" s="1406"/>
      <c r="G14" s="1406"/>
      <c r="H14" s="1406"/>
      <c r="I14" s="1406"/>
      <c r="R14" s="863" t="s">
        <v>535</v>
      </c>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16"/>
      <c r="BD14" s="716"/>
      <c r="BE14" s="716"/>
      <c r="BF14" s="716"/>
      <c r="BG14" s="716"/>
      <c r="BH14" s="716"/>
      <c r="BI14" s="716"/>
      <c r="BJ14" s="716"/>
      <c r="BK14" s="716"/>
      <c r="BL14" s="716"/>
      <c r="BM14" s="716"/>
      <c r="BN14" s="716"/>
      <c r="BO14" s="716"/>
      <c r="BP14" s="716"/>
      <c r="BQ14" s="716"/>
      <c r="BR14" s="716"/>
      <c r="BS14" s="716"/>
      <c r="BT14" s="716"/>
      <c r="BU14" s="716"/>
      <c r="BV14" s="716"/>
      <c r="BW14" s="716"/>
      <c r="BX14" s="716"/>
      <c r="BY14" s="716"/>
      <c r="BZ14" s="716"/>
      <c r="CA14" s="716"/>
      <c r="CB14" s="716"/>
      <c r="CC14" s="716"/>
      <c r="CD14" s="716"/>
      <c r="CE14" s="716"/>
      <c r="CF14" s="716"/>
      <c r="CG14" s="716"/>
      <c r="CH14" s="716"/>
      <c r="CI14" s="716"/>
      <c r="CJ14" s="716"/>
      <c r="CK14" s="716"/>
      <c r="CL14" s="716"/>
      <c r="CM14" s="716"/>
      <c r="CN14" s="716"/>
      <c r="CO14" s="716"/>
      <c r="CP14" s="716"/>
      <c r="CQ14" s="716"/>
      <c r="CR14" s="716"/>
      <c r="CS14" s="716"/>
      <c r="CT14" s="716"/>
      <c r="CU14" s="716"/>
      <c r="CV14" s="716"/>
      <c r="CW14" s="716"/>
      <c r="CX14" s="716"/>
      <c r="CY14" s="716"/>
      <c r="CZ14" s="716"/>
      <c r="DA14" s="716"/>
      <c r="DB14" s="716"/>
      <c r="DC14" s="716"/>
      <c r="DD14" s="716"/>
      <c r="DE14" s="716"/>
      <c r="DF14" s="716"/>
      <c r="DG14" s="716"/>
      <c r="DH14" s="716"/>
      <c r="DI14" s="716"/>
      <c r="DJ14" s="716"/>
      <c r="DK14" s="716"/>
      <c r="DL14" s="716"/>
      <c r="DM14" s="716"/>
      <c r="DN14" s="716"/>
      <c r="DO14" s="716"/>
      <c r="DP14" s="716"/>
      <c r="DQ14" s="716"/>
      <c r="DR14" s="716"/>
      <c r="DS14" s="716"/>
      <c r="DT14" s="716"/>
      <c r="DU14" s="716"/>
      <c r="DV14" s="716"/>
      <c r="DW14" s="716"/>
      <c r="DX14" s="716"/>
      <c r="DY14" s="716"/>
      <c r="DZ14" s="716"/>
      <c r="EA14" s="716"/>
      <c r="EB14" s="716"/>
      <c r="EC14" s="716"/>
      <c r="ED14" s="716"/>
      <c r="EE14" s="716"/>
      <c r="EF14" s="716"/>
      <c r="EG14" s="716"/>
      <c r="EH14" s="716"/>
      <c r="EI14" s="716"/>
      <c r="EJ14" s="716"/>
      <c r="EK14" s="716"/>
      <c r="EL14" s="716"/>
      <c r="EM14" s="716"/>
      <c r="EN14" s="716"/>
      <c r="EO14" s="716"/>
      <c r="EP14" s="716"/>
      <c r="EQ14" s="716"/>
      <c r="ER14" s="716"/>
      <c r="ES14" s="716"/>
      <c r="ET14" s="716"/>
      <c r="EU14" s="716"/>
      <c r="EV14" s="716"/>
      <c r="EW14" s="716"/>
      <c r="EX14" s="716"/>
      <c r="EY14" s="716"/>
      <c r="EZ14" s="716"/>
      <c r="FA14" s="716"/>
      <c r="FB14" s="716"/>
      <c r="FC14" s="716"/>
      <c r="FD14" s="716"/>
      <c r="FE14" s="716"/>
      <c r="FF14" s="716"/>
      <c r="FG14" s="716"/>
      <c r="FH14" s="716"/>
      <c r="FI14" s="716"/>
      <c r="FJ14" s="716"/>
      <c r="FK14" s="716"/>
      <c r="FL14" s="716"/>
      <c r="FM14" s="716"/>
      <c r="FN14" s="716"/>
      <c r="FO14" s="716"/>
      <c r="FP14" s="716"/>
      <c r="FQ14" s="716"/>
      <c r="FR14" s="716"/>
      <c r="FS14" s="716"/>
      <c r="FT14" s="716"/>
      <c r="FU14" s="716"/>
      <c r="FV14" s="716"/>
      <c r="FW14" s="716"/>
      <c r="FX14" s="716"/>
      <c r="FY14" s="716"/>
      <c r="FZ14" s="716"/>
      <c r="GA14" s="716"/>
    </row>
    <row r="15" spans="1:183" ht="19.95" customHeight="1" x14ac:dyDescent="0.3">
      <c r="A15" s="9"/>
      <c r="B15" s="721" t="s">
        <v>682</v>
      </c>
      <c r="C15" s="1405"/>
      <c r="D15" s="1405"/>
      <c r="E15" s="1405"/>
      <c r="F15" s="1405"/>
      <c r="G15" s="1405"/>
      <c r="H15" s="1405"/>
      <c r="I15" s="1405"/>
      <c r="R15" s="743" t="str">
        <f>IF(C15="","",C15)</f>
        <v/>
      </c>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6"/>
      <c r="BE15" s="716"/>
      <c r="BF15" s="716"/>
      <c r="BG15" s="716"/>
      <c r="BH15" s="716"/>
      <c r="BI15" s="716"/>
      <c r="BJ15" s="716"/>
      <c r="BK15" s="716"/>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6"/>
      <c r="CL15" s="716"/>
      <c r="CM15" s="716"/>
      <c r="CN15" s="716"/>
      <c r="CO15" s="716"/>
      <c r="CP15" s="716"/>
      <c r="CQ15" s="716"/>
      <c r="CR15" s="716"/>
      <c r="CS15" s="716"/>
      <c r="CT15" s="716"/>
      <c r="CU15" s="716"/>
      <c r="CV15" s="716"/>
      <c r="CW15" s="716"/>
      <c r="CX15" s="716"/>
      <c r="CY15" s="716"/>
      <c r="CZ15" s="716"/>
      <c r="DA15" s="716"/>
      <c r="DB15" s="716"/>
      <c r="DC15" s="716"/>
      <c r="DD15" s="716"/>
      <c r="DE15" s="716"/>
      <c r="DF15" s="716"/>
      <c r="DG15" s="716"/>
      <c r="DH15" s="716"/>
      <c r="DI15" s="716"/>
      <c r="DJ15" s="716"/>
      <c r="DK15" s="716"/>
      <c r="DL15" s="716"/>
      <c r="DM15" s="716"/>
      <c r="DN15" s="716"/>
      <c r="DO15" s="716"/>
      <c r="DP15" s="716"/>
      <c r="DQ15" s="716"/>
      <c r="DR15" s="716"/>
      <c r="DS15" s="716"/>
      <c r="DT15" s="716"/>
      <c r="DU15" s="716"/>
      <c r="DV15" s="716"/>
      <c r="DW15" s="716"/>
      <c r="DX15" s="716"/>
      <c r="DY15" s="716"/>
      <c r="DZ15" s="716"/>
      <c r="EA15" s="716"/>
      <c r="EB15" s="716"/>
      <c r="EC15" s="716"/>
      <c r="ED15" s="716"/>
      <c r="EE15" s="716"/>
      <c r="EF15" s="716"/>
      <c r="EG15" s="716"/>
      <c r="EH15" s="716"/>
      <c r="EI15" s="716"/>
      <c r="EJ15" s="716"/>
      <c r="EK15" s="716"/>
      <c r="EL15" s="716"/>
      <c r="EM15" s="716"/>
      <c r="EN15" s="716"/>
      <c r="EO15" s="716"/>
      <c r="EP15" s="716"/>
      <c r="EQ15" s="716"/>
      <c r="ER15" s="716"/>
      <c r="ES15" s="716"/>
      <c r="ET15" s="716"/>
      <c r="EU15" s="716"/>
      <c r="EV15" s="716"/>
      <c r="EW15" s="716"/>
      <c r="EX15" s="716"/>
      <c r="EY15" s="716"/>
      <c r="EZ15" s="716"/>
      <c r="FA15" s="716"/>
      <c r="FB15" s="716"/>
      <c r="FC15" s="716"/>
      <c r="FD15" s="716"/>
      <c r="FE15" s="716"/>
      <c r="FF15" s="716"/>
      <c r="FG15" s="716"/>
      <c r="FH15" s="716"/>
      <c r="FI15" s="716"/>
      <c r="FJ15" s="716"/>
      <c r="FK15" s="716"/>
      <c r="FL15" s="716"/>
      <c r="FM15" s="716"/>
      <c r="FN15" s="716"/>
      <c r="FO15" s="716"/>
      <c r="FP15" s="716"/>
      <c r="FQ15" s="716"/>
      <c r="FR15" s="716"/>
      <c r="FS15" s="716"/>
      <c r="FT15" s="716"/>
      <c r="FU15" s="716"/>
      <c r="FV15" s="716"/>
      <c r="FW15" s="716"/>
      <c r="FX15" s="716"/>
      <c r="FY15" s="716"/>
      <c r="FZ15" s="716"/>
      <c r="GA15" s="716"/>
    </row>
    <row r="16" spans="1:183" ht="19.95" customHeight="1" x14ac:dyDescent="0.3">
      <c r="B16" s="721" t="s">
        <v>681</v>
      </c>
      <c r="C16" s="1407"/>
      <c r="D16" s="1407"/>
      <c r="E16" s="1407"/>
      <c r="F16" s="1407"/>
      <c r="G16" s="729" t="s">
        <v>541</v>
      </c>
      <c r="H16" s="1408"/>
      <c r="I16" s="1408"/>
      <c r="R16" s="864" t="s">
        <v>537</v>
      </c>
      <c r="AG16" s="716"/>
      <c r="AH16" s="716"/>
      <c r="AI16" s="716"/>
      <c r="AJ16" s="716"/>
      <c r="AK16" s="716"/>
      <c r="AL16" s="716"/>
      <c r="AM16" s="716"/>
      <c r="AN16" s="1390" t="s">
        <v>644</v>
      </c>
      <c r="AO16" s="1391"/>
      <c r="AP16" s="1391"/>
      <c r="AQ16" s="1392"/>
      <c r="AR16" s="716"/>
      <c r="AS16" s="716"/>
      <c r="AT16" s="716"/>
      <c r="AU16" s="716"/>
      <c r="AV16" s="716"/>
      <c r="AW16" s="716"/>
      <c r="AX16" s="716"/>
      <c r="AY16" s="716"/>
      <c r="AZ16" s="716"/>
      <c r="BA16" s="716"/>
      <c r="BB16" s="716"/>
      <c r="BC16" s="716"/>
      <c r="BD16" s="716"/>
      <c r="BE16" s="716"/>
      <c r="BF16" s="716"/>
      <c r="BG16" s="716"/>
      <c r="BH16" s="716"/>
      <c r="BI16" s="716"/>
      <c r="BJ16" s="716"/>
      <c r="BK16" s="716"/>
      <c r="BL16" s="716"/>
      <c r="BM16" s="716"/>
      <c r="BN16" s="716"/>
      <c r="BO16" s="716"/>
      <c r="BP16" s="716"/>
      <c r="BQ16" s="716"/>
      <c r="BR16" s="716"/>
      <c r="BS16" s="716"/>
      <c r="BT16" s="716"/>
      <c r="BU16" s="716"/>
      <c r="BV16" s="716"/>
      <c r="BW16" s="716"/>
      <c r="BX16" s="716"/>
      <c r="BY16" s="716"/>
      <c r="BZ16" s="716"/>
      <c r="CA16" s="716"/>
      <c r="CB16" s="716"/>
      <c r="CC16" s="716"/>
      <c r="CD16" s="716"/>
      <c r="CE16" s="716"/>
      <c r="CF16" s="716"/>
      <c r="CG16" s="716"/>
      <c r="CH16" s="716"/>
      <c r="CI16" s="716"/>
      <c r="CJ16" s="716"/>
      <c r="CK16" s="716"/>
      <c r="CL16" s="716"/>
      <c r="CM16" s="716"/>
      <c r="CN16" s="716"/>
      <c r="CO16" s="716"/>
      <c r="CP16" s="716"/>
      <c r="CQ16" s="716"/>
      <c r="CR16" s="716"/>
      <c r="CS16" s="716"/>
      <c r="CT16" s="716"/>
      <c r="CU16" s="716"/>
      <c r="CV16" s="716"/>
      <c r="CW16" s="716"/>
      <c r="CX16" s="716"/>
      <c r="CY16" s="716"/>
      <c r="CZ16" s="716"/>
      <c r="DA16" s="716"/>
      <c r="DB16" s="716"/>
      <c r="DC16" s="716"/>
      <c r="DD16" s="716"/>
      <c r="DE16" s="716"/>
      <c r="DF16" s="716"/>
      <c r="DG16" s="716"/>
      <c r="DH16" s="716"/>
      <c r="DI16" s="716"/>
      <c r="DJ16" s="716"/>
      <c r="DK16" s="716"/>
      <c r="DL16" s="716"/>
      <c r="DM16" s="716"/>
      <c r="DN16" s="716"/>
      <c r="DO16" s="716"/>
      <c r="DP16" s="716"/>
      <c r="DQ16" s="716"/>
      <c r="DR16" s="716"/>
      <c r="DS16" s="716"/>
      <c r="DT16" s="716"/>
      <c r="DU16" s="716"/>
      <c r="DV16" s="716"/>
      <c r="DW16" s="716"/>
      <c r="DX16" s="716"/>
      <c r="DY16" s="716"/>
      <c r="DZ16" s="716"/>
      <c r="EA16" s="716"/>
      <c r="EB16" s="716"/>
      <c r="EC16" s="716"/>
      <c r="ED16" s="716"/>
      <c r="EE16" s="716"/>
      <c r="EF16" s="716"/>
      <c r="EG16" s="716"/>
      <c r="EH16" s="716"/>
      <c r="EI16" s="716"/>
      <c r="EJ16" s="716"/>
      <c r="EK16" s="716"/>
      <c r="EL16" s="716"/>
      <c r="EM16" s="716"/>
      <c r="EN16" s="716"/>
      <c r="EO16" s="716"/>
      <c r="EP16" s="716"/>
      <c r="EQ16" s="716"/>
      <c r="ER16" s="716"/>
      <c r="ES16" s="716"/>
      <c r="ET16" s="716"/>
      <c r="EU16" s="716"/>
      <c r="EV16" s="716"/>
      <c r="EW16" s="716"/>
      <c r="EX16" s="716"/>
      <c r="EY16" s="716"/>
      <c r="EZ16" s="716"/>
      <c r="FA16" s="716"/>
      <c r="FB16" s="716"/>
      <c r="FC16" s="716"/>
      <c r="FD16" s="716"/>
      <c r="FE16" s="716"/>
      <c r="FF16" s="716"/>
      <c r="FG16" s="716"/>
      <c r="FH16" s="716"/>
      <c r="FI16" s="716"/>
      <c r="FJ16" s="716"/>
      <c r="FK16" s="716"/>
      <c r="FL16" s="716"/>
      <c r="FM16" s="716"/>
      <c r="FN16" s="716"/>
      <c r="FO16" s="716"/>
      <c r="FP16" s="716"/>
      <c r="FQ16" s="716"/>
      <c r="FR16" s="716"/>
      <c r="FS16" s="716"/>
      <c r="FT16" s="716"/>
      <c r="FU16" s="716"/>
      <c r="FV16" s="716"/>
      <c r="FW16" s="716"/>
      <c r="FX16" s="716"/>
      <c r="FY16" s="716"/>
      <c r="FZ16" s="716"/>
      <c r="GA16" s="716"/>
    </row>
    <row r="17" spans="1:183" ht="19.95" customHeight="1" x14ac:dyDescent="0.3">
      <c r="A17" s="10"/>
      <c r="B17" s="721" t="s">
        <v>542</v>
      </c>
      <c r="C17" s="1406"/>
      <c r="D17" s="1406"/>
      <c r="E17" s="1406"/>
      <c r="F17" s="1406"/>
      <c r="G17" s="1406"/>
      <c r="H17" s="1406"/>
      <c r="I17" s="1406"/>
      <c r="AG17" s="716"/>
      <c r="AH17" s="716"/>
      <c r="AI17" s="716"/>
      <c r="AJ17" s="716"/>
      <c r="AK17" s="716"/>
      <c r="AL17" s="716"/>
      <c r="AM17" s="716"/>
      <c r="AN17" s="1396"/>
      <c r="AO17" s="1010"/>
      <c r="AP17" s="1010"/>
      <c r="AQ17" s="1397"/>
      <c r="AR17" s="716"/>
      <c r="AS17" s="716"/>
      <c r="AT17" s="716"/>
      <c r="AU17" s="716"/>
      <c r="AV17" s="716"/>
      <c r="AW17" s="716"/>
      <c r="AX17" s="716"/>
      <c r="AY17" s="716"/>
      <c r="AZ17" s="716"/>
      <c r="BA17" s="716"/>
      <c r="BB17" s="716"/>
      <c r="BC17" s="716"/>
      <c r="BD17" s="716"/>
      <c r="BE17" s="716"/>
      <c r="BF17" s="716"/>
      <c r="BG17" s="716"/>
      <c r="BH17" s="716"/>
      <c r="BI17" s="716"/>
      <c r="BJ17" s="716"/>
      <c r="BK17" s="716"/>
      <c r="BL17" s="716"/>
      <c r="BM17" s="716"/>
      <c r="BN17" s="716"/>
      <c r="BO17" s="716"/>
      <c r="BP17" s="716"/>
      <c r="BQ17" s="716"/>
      <c r="BR17" s="716"/>
      <c r="BS17" s="716"/>
      <c r="BT17" s="716"/>
      <c r="BU17" s="716"/>
      <c r="BV17" s="716"/>
      <c r="BW17" s="716"/>
      <c r="BX17" s="716"/>
      <c r="BY17" s="716"/>
      <c r="BZ17" s="716"/>
      <c r="CA17" s="716"/>
      <c r="CB17" s="716"/>
      <c r="CC17" s="716"/>
      <c r="CD17" s="716"/>
      <c r="CE17" s="716"/>
      <c r="CF17" s="716"/>
      <c r="CG17" s="716"/>
      <c r="CH17" s="716"/>
      <c r="CI17" s="716"/>
      <c r="CJ17" s="716"/>
      <c r="CK17" s="716"/>
      <c r="CL17" s="716"/>
      <c r="CM17" s="716"/>
      <c r="CN17" s="716"/>
      <c r="CO17" s="716"/>
      <c r="CP17" s="716"/>
      <c r="CQ17" s="716"/>
      <c r="CR17" s="716"/>
      <c r="CS17" s="716"/>
      <c r="CT17" s="716"/>
      <c r="CU17" s="716"/>
      <c r="CV17" s="716"/>
      <c r="CW17" s="716"/>
      <c r="CX17" s="716"/>
      <c r="CY17" s="716"/>
      <c r="CZ17" s="716"/>
      <c r="DA17" s="716"/>
      <c r="DB17" s="716"/>
      <c r="DC17" s="716"/>
      <c r="DD17" s="716"/>
      <c r="DE17" s="716"/>
      <c r="DF17" s="716"/>
      <c r="DG17" s="716"/>
      <c r="DH17" s="716"/>
      <c r="DI17" s="716"/>
      <c r="DJ17" s="716"/>
      <c r="DK17" s="716"/>
      <c r="DL17" s="716"/>
      <c r="DM17" s="716"/>
      <c r="DN17" s="716"/>
      <c r="DO17" s="716"/>
      <c r="DP17" s="716"/>
      <c r="DQ17" s="716"/>
      <c r="DR17" s="716"/>
      <c r="DS17" s="716"/>
      <c r="DT17" s="716"/>
      <c r="DU17" s="716"/>
      <c r="DV17" s="716"/>
      <c r="DW17" s="716"/>
      <c r="DX17" s="716"/>
      <c r="DY17" s="716"/>
      <c r="DZ17" s="716"/>
      <c r="EA17" s="716"/>
      <c r="EB17" s="716"/>
      <c r="EC17" s="716"/>
      <c r="ED17" s="716"/>
      <c r="EE17" s="716"/>
      <c r="EF17" s="716"/>
      <c r="EG17" s="716"/>
      <c r="EH17" s="716"/>
      <c r="EI17" s="716"/>
      <c r="EJ17" s="716"/>
      <c r="EK17" s="716"/>
      <c r="EL17" s="716"/>
      <c r="EM17" s="716"/>
      <c r="EN17" s="716"/>
      <c r="EO17" s="716"/>
      <c r="EP17" s="716"/>
      <c r="EQ17" s="716"/>
      <c r="ER17" s="716"/>
      <c r="ES17" s="716"/>
      <c r="ET17" s="716"/>
      <c r="EU17" s="716"/>
      <c r="EV17" s="716"/>
      <c r="EW17" s="716"/>
      <c r="EX17" s="716"/>
      <c r="EY17" s="716"/>
      <c r="EZ17" s="716"/>
      <c r="FA17" s="716"/>
      <c r="FB17" s="716"/>
      <c r="FC17" s="716"/>
      <c r="FD17" s="716"/>
      <c r="FE17" s="716"/>
      <c r="FF17" s="716"/>
      <c r="FG17" s="716"/>
      <c r="FH17" s="716"/>
      <c r="FI17" s="716"/>
      <c r="FJ17" s="716"/>
      <c r="FK17" s="716"/>
      <c r="FL17" s="716"/>
      <c r="FM17" s="716"/>
      <c r="FN17" s="716"/>
      <c r="FO17" s="716"/>
      <c r="FP17" s="716"/>
      <c r="FQ17" s="716"/>
      <c r="FR17" s="716"/>
      <c r="FS17" s="716"/>
      <c r="FT17" s="716"/>
      <c r="FU17" s="716"/>
      <c r="FV17" s="716"/>
      <c r="FW17" s="716"/>
      <c r="FX17" s="716"/>
      <c r="FY17" s="716"/>
      <c r="FZ17" s="716"/>
      <c r="GA17" s="716"/>
    </row>
    <row r="18" spans="1:183" ht="19.95" customHeight="1" x14ac:dyDescent="0.3">
      <c r="A18" s="10"/>
      <c r="B18" s="721" t="s">
        <v>213</v>
      </c>
      <c r="C18" s="1410"/>
      <c r="D18" s="1405"/>
      <c r="E18" s="1405"/>
      <c r="F18" s="1405"/>
      <c r="G18" s="1405"/>
      <c r="H18" s="1405"/>
      <c r="I18" s="1405"/>
      <c r="AG18" s="716"/>
      <c r="AH18" s="716"/>
      <c r="AI18" s="716"/>
      <c r="AJ18" s="716"/>
      <c r="AK18" s="716"/>
      <c r="AL18" s="716"/>
      <c r="AM18" s="716"/>
      <c r="AN18" s="1390" t="s">
        <v>645</v>
      </c>
      <c r="AO18" s="1391"/>
      <c r="AP18" s="1391"/>
      <c r="AQ18" s="1392"/>
      <c r="AR18" s="716"/>
      <c r="AS18" s="716"/>
      <c r="AT18" s="716"/>
      <c r="AU18" s="716"/>
      <c r="AV18" s="716"/>
      <c r="AW18" s="716"/>
      <c r="AX18" s="716"/>
      <c r="AY18" s="716"/>
      <c r="AZ18" s="716"/>
      <c r="BA18" s="716"/>
      <c r="BB18" s="716"/>
      <c r="BC18" s="716"/>
      <c r="BD18" s="716"/>
      <c r="BE18" s="716"/>
      <c r="BF18" s="716"/>
      <c r="BG18" s="716"/>
      <c r="BH18" s="716"/>
      <c r="BI18" s="716"/>
      <c r="BJ18" s="716"/>
      <c r="BK18" s="716"/>
      <c r="BL18" s="716"/>
      <c r="BM18" s="716"/>
      <c r="BN18" s="716"/>
      <c r="BO18" s="716"/>
      <c r="BP18" s="716"/>
      <c r="BQ18" s="716"/>
      <c r="BR18" s="716"/>
      <c r="BS18" s="716"/>
      <c r="BT18" s="716"/>
      <c r="BU18" s="716"/>
      <c r="BV18" s="716"/>
      <c r="BW18" s="716"/>
      <c r="BX18" s="716"/>
      <c r="BY18" s="716"/>
      <c r="BZ18" s="716"/>
      <c r="CA18" s="716"/>
      <c r="CB18" s="716"/>
      <c r="CC18" s="716"/>
      <c r="CD18" s="716"/>
      <c r="CE18" s="716"/>
      <c r="CF18" s="716"/>
      <c r="CG18" s="716"/>
      <c r="CH18" s="716"/>
      <c r="CI18" s="716"/>
      <c r="CJ18" s="716"/>
      <c r="CK18" s="716"/>
      <c r="CL18" s="716"/>
      <c r="CM18" s="716"/>
      <c r="CN18" s="716"/>
      <c r="CO18" s="716"/>
      <c r="CP18" s="716"/>
      <c r="CQ18" s="716"/>
      <c r="CR18" s="716"/>
      <c r="CS18" s="716"/>
      <c r="CT18" s="716"/>
      <c r="CU18" s="716"/>
      <c r="CV18" s="716"/>
      <c r="CW18" s="716"/>
      <c r="CX18" s="716"/>
      <c r="CY18" s="716"/>
      <c r="CZ18" s="716"/>
      <c r="DA18" s="716"/>
      <c r="DB18" s="716"/>
      <c r="DC18" s="716"/>
      <c r="DD18" s="716"/>
      <c r="DE18" s="716"/>
      <c r="DF18" s="716"/>
      <c r="DG18" s="716"/>
      <c r="DH18" s="716"/>
      <c r="DI18" s="716"/>
      <c r="DJ18" s="716"/>
      <c r="DK18" s="716"/>
      <c r="DL18" s="716"/>
      <c r="DM18" s="716"/>
      <c r="DN18" s="716"/>
      <c r="DO18" s="716"/>
      <c r="DP18" s="716"/>
      <c r="DQ18" s="716"/>
      <c r="DR18" s="716"/>
      <c r="DS18" s="716"/>
      <c r="DT18" s="716"/>
      <c r="DU18" s="716"/>
      <c r="DV18" s="716"/>
      <c r="DW18" s="716"/>
      <c r="DX18" s="716"/>
      <c r="DY18" s="716"/>
      <c r="DZ18" s="716"/>
      <c r="EA18" s="716"/>
      <c r="EB18" s="716"/>
      <c r="EC18" s="716"/>
      <c r="ED18" s="716"/>
      <c r="EE18" s="716"/>
      <c r="EF18" s="716"/>
      <c r="EG18" s="716"/>
      <c r="EH18" s="716"/>
      <c r="EI18" s="716"/>
      <c r="EJ18" s="716"/>
      <c r="EK18" s="716"/>
      <c r="EL18" s="716"/>
      <c r="EM18" s="716"/>
      <c r="EN18" s="716"/>
      <c r="EO18" s="716"/>
      <c r="EP18" s="716"/>
      <c r="EQ18" s="716"/>
      <c r="ER18" s="716"/>
      <c r="ES18" s="716"/>
      <c r="ET18" s="716"/>
      <c r="EU18" s="716"/>
      <c r="EV18" s="716"/>
      <c r="EW18" s="716"/>
      <c r="EX18" s="716"/>
      <c r="EY18" s="716"/>
      <c r="EZ18" s="716"/>
      <c r="FA18" s="716"/>
      <c r="FB18" s="716"/>
      <c r="FC18" s="716"/>
      <c r="FD18" s="716"/>
      <c r="FE18" s="716"/>
      <c r="FF18" s="716"/>
      <c r="FG18" s="716"/>
      <c r="FH18" s="716"/>
      <c r="FI18" s="716"/>
      <c r="FJ18" s="716"/>
      <c r="FK18" s="716"/>
      <c r="FL18" s="716"/>
      <c r="FM18" s="716"/>
      <c r="FN18" s="716"/>
      <c r="FO18" s="716"/>
      <c r="FP18" s="716"/>
      <c r="FQ18" s="716"/>
      <c r="FR18" s="716"/>
      <c r="FS18" s="716"/>
      <c r="FT18" s="716"/>
      <c r="FU18" s="716"/>
      <c r="FV18" s="716"/>
      <c r="FW18" s="716"/>
      <c r="FX18" s="716"/>
      <c r="FY18" s="716"/>
      <c r="FZ18" s="716"/>
      <c r="GA18" s="716"/>
    </row>
    <row r="19" spans="1:183" ht="19.95" customHeight="1" x14ac:dyDescent="0.3">
      <c r="A19" s="10"/>
      <c r="B19" s="721" t="s">
        <v>543</v>
      </c>
      <c r="C19" s="1405"/>
      <c r="D19" s="1405"/>
      <c r="E19" s="1405"/>
      <c r="F19" s="1405"/>
      <c r="G19" s="1405"/>
      <c r="H19" s="1405"/>
      <c r="I19" s="1405"/>
      <c r="AG19" s="716"/>
      <c r="AH19" s="716"/>
      <c r="AI19" s="716"/>
      <c r="AJ19" s="716"/>
      <c r="AK19" s="716"/>
      <c r="AL19" s="716"/>
      <c r="AM19" s="716"/>
      <c r="AN19" s="1396"/>
      <c r="AO19" s="1010"/>
      <c r="AP19" s="1010"/>
      <c r="AQ19" s="1397"/>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6"/>
      <c r="CQ19" s="716"/>
      <c r="CR19" s="716"/>
      <c r="CS19" s="716"/>
      <c r="CT19" s="716"/>
      <c r="CU19" s="716"/>
      <c r="CV19" s="716"/>
      <c r="CW19" s="716"/>
      <c r="CX19" s="716"/>
      <c r="CY19" s="716"/>
      <c r="CZ19" s="716"/>
      <c r="DA19" s="716"/>
      <c r="DB19" s="716"/>
      <c r="DC19" s="716"/>
      <c r="DD19" s="716"/>
      <c r="DE19" s="716"/>
      <c r="DF19" s="716"/>
      <c r="DG19" s="716"/>
      <c r="DH19" s="716"/>
      <c r="DI19" s="716"/>
      <c r="DJ19" s="716"/>
      <c r="DK19" s="716"/>
      <c r="DL19" s="716"/>
      <c r="DM19" s="716"/>
      <c r="DN19" s="716"/>
      <c r="DO19" s="716"/>
      <c r="DP19" s="716"/>
      <c r="DQ19" s="716"/>
      <c r="DR19" s="716"/>
      <c r="DS19" s="716"/>
      <c r="DT19" s="716"/>
      <c r="DU19" s="716"/>
      <c r="DV19" s="716"/>
      <c r="DW19" s="716"/>
      <c r="DX19" s="716"/>
      <c r="DY19" s="716"/>
      <c r="DZ19" s="716"/>
      <c r="EA19" s="716"/>
      <c r="EB19" s="716"/>
      <c r="EC19" s="716"/>
      <c r="ED19" s="716"/>
      <c r="EE19" s="716"/>
      <c r="EF19" s="716"/>
      <c r="EG19" s="716"/>
      <c r="EH19" s="716"/>
      <c r="EI19" s="716"/>
      <c r="EJ19" s="716"/>
      <c r="EK19" s="716"/>
      <c r="EL19" s="716"/>
      <c r="EM19" s="716"/>
      <c r="EN19" s="716"/>
      <c r="EO19" s="716"/>
      <c r="EP19" s="716"/>
      <c r="EQ19" s="716"/>
      <c r="ER19" s="716"/>
      <c r="ES19" s="716"/>
      <c r="ET19" s="716"/>
      <c r="EU19" s="716"/>
      <c r="EV19" s="716"/>
      <c r="EW19" s="716"/>
      <c r="EX19" s="716"/>
      <c r="EY19" s="716"/>
      <c r="EZ19" s="716"/>
      <c r="FA19" s="716"/>
      <c r="FB19" s="716"/>
      <c r="FC19" s="716"/>
      <c r="FD19" s="716"/>
      <c r="FE19" s="716"/>
      <c r="FF19" s="716"/>
      <c r="FG19" s="716"/>
      <c r="FH19" s="716"/>
      <c r="FI19" s="716"/>
      <c r="FJ19" s="716"/>
      <c r="FK19" s="716"/>
      <c r="FL19" s="716"/>
      <c r="FM19" s="716"/>
      <c r="FN19" s="716"/>
      <c r="FO19" s="716"/>
      <c r="FP19" s="716"/>
      <c r="FQ19" s="716"/>
      <c r="FR19" s="716"/>
      <c r="FS19" s="716"/>
      <c r="FT19" s="716"/>
      <c r="FU19" s="716"/>
      <c r="FV19" s="716"/>
      <c r="FW19" s="716"/>
      <c r="FX19" s="716"/>
      <c r="FY19" s="716"/>
      <c r="FZ19" s="716"/>
      <c r="GA19" s="716"/>
    </row>
    <row r="20" spans="1:183" x14ac:dyDescent="0.25">
      <c r="A20" s="10"/>
      <c r="I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716"/>
      <c r="CG20" s="716"/>
      <c r="CH20" s="716"/>
      <c r="CI20" s="716"/>
      <c r="CJ20" s="716"/>
      <c r="CK20" s="716"/>
      <c r="CL20" s="716"/>
      <c r="CM20" s="716"/>
      <c r="CN20" s="716"/>
      <c r="CO20" s="716"/>
      <c r="CP20" s="716"/>
      <c r="CQ20" s="716"/>
      <c r="CR20" s="716"/>
      <c r="CS20" s="716"/>
      <c r="CT20" s="716"/>
      <c r="CU20" s="716"/>
      <c r="CV20" s="716"/>
      <c r="CW20" s="716"/>
      <c r="CX20" s="716"/>
      <c r="CY20" s="716"/>
      <c r="CZ20" s="716"/>
      <c r="DA20" s="716"/>
      <c r="DB20" s="716"/>
      <c r="DC20" s="716"/>
      <c r="DD20" s="716"/>
      <c r="DE20" s="716"/>
      <c r="DF20" s="716"/>
      <c r="DG20" s="716"/>
      <c r="DH20" s="716"/>
      <c r="DI20" s="716"/>
      <c r="DJ20" s="716"/>
      <c r="DK20" s="716"/>
      <c r="DL20" s="716"/>
      <c r="DM20" s="716"/>
      <c r="DN20" s="716"/>
      <c r="DO20" s="716"/>
      <c r="DP20" s="716"/>
      <c r="DQ20" s="716"/>
      <c r="DR20" s="716"/>
      <c r="DS20" s="716"/>
      <c r="DT20" s="716"/>
      <c r="DU20" s="716"/>
      <c r="DV20" s="716"/>
      <c r="DW20" s="716"/>
      <c r="DX20" s="716"/>
      <c r="DY20" s="716"/>
      <c r="DZ20" s="716"/>
      <c r="EA20" s="716"/>
      <c r="EB20" s="716"/>
      <c r="EC20" s="716"/>
      <c r="ED20" s="716"/>
      <c r="EE20" s="716"/>
      <c r="EF20" s="716"/>
      <c r="EG20" s="716"/>
      <c r="EH20" s="716"/>
      <c r="EI20" s="716"/>
      <c r="EJ20" s="716"/>
      <c r="EK20" s="716"/>
      <c r="EL20" s="716"/>
      <c r="EM20" s="716"/>
      <c r="EN20" s="716"/>
      <c r="EO20" s="716"/>
      <c r="EP20" s="716"/>
      <c r="EQ20" s="716"/>
      <c r="ER20" s="716"/>
      <c r="ES20" s="716"/>
      <c r="ET20" s="716"/>
      <c r="EU20" s="716"/>
      <c r="EV20" s="716"/>
      <c r="EW20" s="716"/>
      <c r="EX20" s="716"/>
      <c r="EY20" s="716"/>
      <c r="EZ20" s="716"/>
      <c r="FA20" s="716"/>
      <c r="FB20" s="716"/>
      <c r="FC20" s="716"/>
      <c r="FD20" s="716"/>
      <c r="FE20" s="716"/>
      <c r="FF20" s="716"/>
      <c r="FG20" s="716"/>
      <c r="FH20" s="716"/>
      <c r="FI20" s="716"/>
      <c r="FJ20" s="716"/>
      <c r="FK20" s="716"/>
      <c r="FL20" s="716"/>
      <c r="FM20" s="716"/>
      <c r="FN20" s="716"/>
      <c r="FO20" s="716"/>
      <c r="FP20" s="716"/>
      <c r="FQ20" s="716"/>
      <c r="FR20" s="716"/>
      <c r="FS20" s="716"/>
      <c r="FT20" s="716"/>
      <c r="FU20" s="716"/>
      <c r="FV20" s="716"/>
      <c r="FW20" s="716"/>
      <c r="FX20" s="716"/>
      <c r="FY20" s="716"/>
      <c r="FZ20" s="716"/>
      <c r="GA20" s="716"/>
    </row>
    <row r="21" spans="1:183" x14ac:dyDescent="0.25">
      <c r="A21" s="10"/>
      <c r="I21" s="716"/>
      <c r="AG21" s="716"/>
      <c r="AH21" s="716"/>
      <c r="AI21" s="716"/>
      <c r="AJ21" s="716"/>
      <c r="AK21" s="716"/>
      <c r="AL21" s="716"/>
      <c r="AM21" s="716"/>
      <c r="AN21" s="71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6"/>
      <c r="BL21" s="716"/>
      <c r="BM21" s="716"/>
      <c r="BN21" s="716"/>
      <c r="BO21" s="716"/>
      <c r="BP21" s="716"/>
      <c r="BQ21" s="716"/>
      <c r="BR21" s="716"/>
      <c r="BS21" s="716"/>
      <c r="BT21" s="716"/>
      <c r="BU21" s="716"/>
      <c r="BV21" s="716"/>
      <c r="BW21" s="716"/>
      <c r="BX21" s="716"/>
      <c r="BY21" s="716"/>
      <c r="BZ21" s="716"/>
      <c r="CA21" s="716"/>
      <c r="CB21" s="716"/>
      <c r="CC21" s="716"/>
      <c r="CD21" s="716"/>
      <c r="CE21" s="716"/>
      <c r="CF21" s="716"/>
      <c r="CG21" s="716"/>
      <c r="CH21" s="716"/>
      <c r="CI21" s="716"/>
      <c r="CJ21" s="716"/>
      <c r="CK21" s="716"/>
      <c r="CL21" s="716"/>
      <c r="CM21" s="716"/>
      <c r="CN21" s="716"/>
      <c r="CO21" s="716"/>
      <c r="CP21" s="716"/>
      <c r="CQ21" s="716"/>
      <c r="CR21" s="716"/>
      <c r="CS21" s="716"/>
      <c r="CT21" s="716"/>
      <c r="CU21" s="716"/>
      <c r="CV21" s="716"/>
      <c r="CW21" s="716"/>
      <c r="CX21" s="716"/>
      <c r="CY21" s="716"/>
      <c r="CZ21" s="716"/>
      <c r="DA21" s="716"/>
      <c r="DB21" s="716"/>
      <c r="DC21" s="716"/>
      <c r="DD21" s="716"/>
      <c r="DE21" s="716"/>
      <c r="DF21" s="716"/>
      <c r="DG21" s="716"/>
      <c r="DH21" s="716"/>
      <c r="DI21" s="716"/>
      <c r="DJ21" s="716"/>
      <c r="DK21" s="716"/>
      <c r="DL21" s="716"/>
      <c r="DM21" s="716"/>
      <c r="DN21" s="716"/>
      <c r="DO21" s="716"/>
      <c r="DP21" s="716"/>
      <c r="DQ21" s="716"/>
      <c r="DR21" s="716"/>
      <c r="DS21" s="716"/>
      <c r="DT21" s="716"/>
      <c r="DU21" s="716"/>
      <c r="DV21" s="716"/>
      <c r="DW21" s="716"/>
      <c r="DX21" s="716"/>
      <c r="DY21" s="716"/>
      <c r="DZ21" s="716"/>
      <c r="EA21" s="716"/>
      <c r="EB21" s="716"/>
      <c r="EC21" s="716"/>
      <c r="ED21" s="716"/>
      <c r="EE21" s="716"/>
      <c r="EF21" s="716"/>
      <c r="EG21" s="716"/>
      <c r="EH21" s="716"/>
      <c r="EI21" s="716"/>
      <c r="EJ21" s="716"/>
      <c r="EK21" s="716"/>
      <c r="EL21" s="716"/>
      <c r="EM21" s="716"/>
      <c r="EN21" s="716"/>
      <c r="EO21" s="716"/>
      <c r="EP21" s="716"/>
      <c r="EQ21" s="716"/>
      <c r="ER21" s="716"/>
      <c r="ES21" s="716"/>
      <c r="ET21" s="716"/>
      <c r="EU21" s="716"/>
      <c r="EV21" s="716"/>
      <c r="EW21" s="716"/>
      <c r="EX21" s="716"/>
      <c r="EY21" s="716"/>
      <c r="EZ21" s="716"/>
      <c r="FA21" s="716"/>
      <c r="FB21" s="716"/>
      <c r="FC21" s="716"/>
      <c r="FD21" s="716"/>
      <c r="FE21" s="716"/>
      <c r="FF21" s="716"/>
      <c r="FG21" s="716"/>
      <c r="FH21" s="716"/>
      <c r="FI21" s="716"/>
      <c r="FJ21" s="716"/>
      <c r="FK21" s="716"/>
      <c r="FL21" s="716"/>
      <c r="FM21" s="716"/>
      <c r="FN21" s="716"/>
      <c r="FO21" s="716"/>
      <c r="FP21" s="716"/>
      <c r="FQ21" s="716"/>
      <c r="FR21" s="716"/>
      <c r="FS21" s="716"/>
      <c r="FT21" s="716"/>
      <c r="FU21" s="716"/>
      <c r="FV21" s="716"/>
      <c r="FW21" s="716"/>
      <c r="FX21" s="716"/>
      <c r="FY21" s="716"/>
      <c r="FZ21" s="716"/>
      <c r="GA21" s="716"/>
    </row>
    <row r="22" spans="1:183" ht="23.1" customHeight="1" x14ac:dyDescent="0.3">
      <c r="A22" s="10"/>
      <c r="H22" s="730" t="s">
        <v>544</v>
      </c>
      <c r="I22" s="731"/>
      <c r="AG22" s="716"/>
      <c r="AH22" s="716"/>
      <c r="AI22" s="716"/>
      <c r="AJ22" s="716"/>
      <c r="AK22" s="716"/>
      <c r="AL22" s="716"/>
      <c r="AM22" s="716"/>
      <c r="AN22" s="1390" t="s">
        <v>646</v>
      </c>
      <c r="AO22" s="1391"/>
      <c r="AP22" s="1391"/>
      <c r="AQ22" s="1392"/>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6"/>
      <c r="CT22" s="716"/>
      <c r="CU22" s="716"/>
      <c r="CV22" s="716"/>
      <c r="CW22" s="716"/>
      <c r="CX22" s="716"/>
      <c r="CY22" s="716"/>
      <c r="CZ22" s="716"/>
      <c r="DA22" s="716"/>
      <c r="DB22" s="716"/>
      <c r="DC22" s="716"/>
      <c r="DD22" s="716"/>
      <c r="DE22" s="716"/>
      <c r="DF22" s="716"/>
      <c r="DG22" s="716"/>
      <c r="DH22" s="716"/>
      <c r="DI22" s="716"/>
      <c r="DJ22" s="716"/>
      <c r="DK22" s="716"/>
      <c r="DL22" s="716"/>
      <c r="DM22" s="716"/>
      <c r="DN22" s="716"/>
      <c r="DO22" s="716"/>
      <c r="DP22" s="716"/>
      <c r="DQ22" s="716"/>
      <c r="DR22" s="716"/>
      <c r="DS22" s="716"/>
      <c r="DT22" s="716"/>
      <c r="DU22" s="716"/>
      <c r="DV22" s="716"/>
      <c r="DW22" s="716"/>
      <c r="DX22" s="716"/>
      <c r="DY22" s="716"/>
      <c r="DZ22" s="716"/>
      <c r="EA22" s="716"/>
      <c r="EB22" s="716"/>
      <c r="EC22" s="716"/>
      <c r="ED22" s="716"/>
      <c r="EE22" s="716"/>
      <c r="EF22" s="716"/>
      <c r="EG22" s="716"/>
      <c r="EH22" s="716"/>
      <c r="EI22" s="716"/>
      <c r="EJ22" s="716"/>
      <c r="EK22" s="716"/>
      <c r="EL22" s="716"/>
      <c r="EM22" s="716"/>
      <c r="EN22" s="716"/>
      <c r="EO22" s="716"/>
      <c r="EP22" s="716"/>
      <c r="EQ22" s="716"/>
      <c r="ER22" s="716"/>
      <c r="ES22" s="716"/>
      <c r="ET22" s="716"/>
      <c r="EU22" s="716"/>
      <c r="EV22" s="716"/>
      <c r="EW22" s="716"/>
      <c r="EX22" s="716"/>
      <c r="EY22" s="716"/>
      <c r="EZ22" s="716"/>
      <c r="FA22" s="716"/>
      <c r="FB22" s="716"/>
      <c r="FC22" s="716"/>
      <c r="FD22" s="716"/>
      <c r="FE22" s="716"/>
      <c r="FF22" s="716"/>
      <c r="FG22" s="716"/>
      <c r="FH22" s="716"/>
      <c r="FI22" s="716"/>
      <c r="FJ22" s="716"/>
      <c r="FK22" s="716"/>
      <c r="FL22" s="716"/>
      <c r="FM22" s="716"/>
      <c r="FN22" s="716"/>
      <c r="FO22" s="716"/>
      <c r="FP22" s="716"/>
      <c r="FQ22" s="716"/>
      <c r="FR22" s="716"/>
      <c r="FS22" s="716"/>
      <c r="FT22" s="716"/>
      <c r="FU22" s="716"/>
      <c r="FV22" s="716"/>
      <c r="FW22" s="716"/>
      <c r="FX22" s="716"/>
      <c r="FY22" s="716"/>
      <c r="FZ22" s="716"/>
      <c r="GA22" s="716"/>
    </row>
    <row r="23" spans="1:183" ht="23.1" customHeight="1" x14ac:dyDescent="0.3">
      <c r="A23" s="10"/>
      <c r="B23" s="732" t="s">
        <v>516</v>
      </c>
      <c r="C23" s="733" t="s">
        <v>135</v>
      </c>
      <c r="D23" s="733" t="s">
        <v>136</v>
      </c>
      <c r="E23" s="733" t="s">
        <v>138</v>
      </c>
      <c r="F23" s="733" t="s">
        <v>545</v>
      </c>
      <c r="G23" s="734" t="s">
        <v>141</v>
      </c>
      <c r="H23" s="735" t="s">
        <v>546</v>
      </c>
      <c r="I23" s="736" t="s">
        <v>547</v>
      </c>
      <c r="Q23" s="716">
        <v>0.19</v>
      </c>
      <c r="AG23" s="716"/>
      <c r="AH23" s="716"/>
      <c r="AI23" s="716"/>
      <c r="AJ23" s="716"/>
      <c r="AK23" s="716"/>
      <c r="AL23" s="716"/>
      <c r="AM23" s="716"/>
      <c r="AN23" s="1396"/>
      <c r="AO23" s="1010"/>
      <c r="AP23" s="1010"/>
      <c r="AQ23" s="1397"/>
      <c r="AR23" s="716"/>
      <c r="AS23" s="716"/>
      <c r="AT23" s="716"/>
      <c r="AU23" s="716"/>
      <c r="AV23" s="716"/>
      <c r="AW23" s="716"/>
      <c r="AX23" s="716"/>
      <c r="AY23" s="716"/>
      <c r="AZ23" s="716"/>
      <c r="BA23" s="716"/>
      <c r="BB23" s="716"/>
      <c r="BC23" s="716"/>
      <c r="BD23" s="716"/>
      <c r="BE23" s="716"/>
      <c r="BF23" s="716"/>
      <c r="BG23" s="716"/>
      <c r="BH23" s="716"/>
      <c r="BI23" s="716"/>
      <c r="BJ23" s="716"/>
      <c r="BK23" s="716"/>
      <c r="BL23" s="716"/>
      <c r="BM23" s="716"/>
      <c r="BN23" s="716"/>
      <c r="BO23" s="716"/>
      <c r="BP23" s="716"/>
      <c r="BQ23" s="716"/>
      <c r="BR23" s="716"/>
      <c r="BS23" s="716"/>
      <c r="BT23" s="716"/>
      <c r="BU23" s="716"/>
      <c r="BV23" s="716"/>
      <c r="BW23" s="716"/>
      <c r="BX23" s="716"/>
      <c r="BY23" s="716"/>
      <c r="BZ23" s="716"/>
      <c r="CA23" s="716"/>
      <c r="CB23" s="716"/>
      <c r="CC23" s="716"/>
      <c r="CD23" s="716"/>
      <c r="CE23" s="716"/>
      <c r="CF23" s="716"/>
      <c r="CG23" s="716"/>
      <c r="CH23" s="716"/>
      <c r="CI23" s="716"/>
      <c r="CJ23" s="716"/>
      <c r="CK23" s="716"/>
      <c r="CL23" s="716"/>
      <c r="CM23" s="716"/>
      <c r="CN23" s="716"/>
      <c r="CO23" s="716"/>
      <c r="CP23" s="716"/>
      <c r="CQ23" s="716"/>
      <c r="CR23" s="716"/>
      <c r="CS23" s="716"/>
      <c r="CT23" s="716"/>
      <c r="CU23" s="716"/>
      <c r="CV23" s="716"/>
      <c r="CW23" s="716"/>
      <c r="CX23" s="716"/>
      <c r="CY23" s="716"/>
      <c r="CZ23" s="716"/>
      <c r="DA23" s="716"/>
      <c r="DB23" s="716"/>
      <c r="DC23" s="716"/>
      <c r="DD23" s="716"/>
      <c r="DE23" s="716"/>
      <c r="DF23" s="716"/>
      <c r="DG23" s="716"/>
      <c r="DH23" s="716"/>
      <c r="DI23" s="716"/>
      <c r="DJ23" s="716"/>
      <c r="DK23" s="716"/>
      <c r="DL23" s="716"/>
      <c r="DM23" s="716"/>
      <c r="DN23" s="716"/>
      <c r="DO23" s="716"/>
      <c r="DP23" s="716"/>
      <c r="DQ23" s="716"/>
      <c r="DR23" s="716"/>
      <c r="DS23" s="716"/>
      <c r="DT23" s="716"/>
      <c r="DU23" s="716"/>
      <c r="DV23" s="716"/>
      <c r="DW23" s="716"/>
      <c r="DX23" s="716"/>
      <c r="DY23" s="716"/>
      <c r="DZ23" s="716"/>
      <c r="EA23" s="716"/>
      <c r="EB23" s="716"/>
      <c r="EC23" s="716"/>
      <c r="ED23" s="716"/>
      <c r="EE23" s="716"/>
      <c r="EF23" s="716"/>
      <c r="EG23" s="716"/>
      <c r="EH23" s="716"/>
      <c r="EI23" s="716"/>
      <c r="EJ23" s="716"/>
      <c r="EK23" s="716"/>
      <c r="EL23" s="716"/>
      <c r="EM23" s="716"/>
      <c r="EN23" s="716"/>
      <c r="EO23" s="716"/>
      <c r="EP23" s="716"/>
      <c r="EQ23" s="716"/>
      <c r="ER23" s="716"/>
      <c r="ES23" s="716"/>
      <c r="ET23" s="716"/>
      <c r="EU23" s="716"/>
      <c r="EV23" s="716"/>
      <c r="EW23" s="716"/>
      <c r="EX23" s="716"/>
      <c r="EY23" s="716"/>
      <c r="EZ23" s="716"/>
      <c r="FA23" s="716"/>
      <c r="FB23" s="716"/>
      <c r="FC23" s="716"/>
      <c r="FD23" s="716"/>
      <c r="FE23" s="716"/>
      <c r="FF23" s="716"/>
      <c r="FG23" s="716"/>
      <c r="FH23" s="716"/>
      <c r="FI23" s="716"/>
      <c r="FJ23" s="716"/>
      <c r="FK23" s="716"/>
      <c r="FL23" s="716"/>
      <c r="FM23" s="716"/>
      <c r="FN23" s="716"/>
      <c r="FO23" s="716"/>
      <c r="FP23" s="716"/>
      <c r="FQ23" s="716"/>
      <c r="FR23" s="716"/>
      <c r="FS23" s="716"/>
      <c r="FT23" s="716"/>
      <c r="FU23" s="716"/>
      <c r="FV23" s="716"/>
      <c r="FW23" s="716"/>
      <c r="FX23" s="716"/>
      <c r="FY23" s="716"/>
      <c r="FZ23" s="716"/>
      <c r="GA23" s="716"/>
    </row>
    <row r="24" spans="1:183" ht="19.95" customHeight="1" x14ac:dyDescent="0.3">
      <c r="A24" s="10"/>
      <c r="B24" s="791" t="str">
        <f>"(abonar a):" &amp;" "  &amp;C15</f>
        <v xml:space="preserve">(abonar a): </v>
      </c>
      <c r="C24" s="795">
        <v>0</v>
      </c>
      <c r="D24" s="796">
        <v>0</v>
      </c>
      <c r="E24" s="796">
        <v>0</v>
      </c>
      <c r="F24" s="796">
        <v>0</v>
      </c>
      <c r="G24" s="797">
        <v>0</v>
      </c>
      <c r="H24" s="738">
        <f>IF(D67&lt;&gt;"",0,I22*Q23)</f>
        <v>0</v>
      </c>
      <c r="I24" s="800">
        <f>IF(D67&lt;&gt;"",0,SUM(C24:H24))</f>
        <v>0</v>
      </c>
      <c r="Q24" s="1418" t="s">
        <v>548</v>
      </c>
      <c r="R24" s="1419"/>
      <c r="S24" s="823" t="s">
        <v>549</v>
      </c>
      <c r="T24" s="822" t="s">
        <v>550</v>
      </c>
      <c r="U24" s="718" t="s">
        <v>280</v>
      </c>
      <c r="V24" s="718" t="s">
        <v>551</v>
      </c>
      <c r="AG24" s="716"/>
      <c r="AH24" s="716"/>
      <c r="AI24" s="716"/>
      <c r="AJ24" s="716"/>
      <c r="AK24" s="716"/>
      <c r="AL24" s="716"/>
      <c r="AM24" s="716"/>
      <c r="AN24" s="716"/>
      <c r="AO24" s="716"/>
      <c r="AP24" s="716"/>
      <c r="AQ24" s="716"/>
      <c r="AR24" s="716"/>
      <c r="AS24" s="716"/>
      <c r="AT24" s="716"/>
      <c r="AU24" s="716"/>
      <c r="AV24" s="716"/>
      <c r="AW24" s="716"/>
      <c r="AX24" s="716"/>
      <c r="AY24" s="716"/>
      <c r="AZ24" s="716"/>
      <c r="BA24" s="716"/>
      <c r="BB24" s="716"/>
      <c r="BC24" s="716"/>
      <c r="BD24" s="716"/>
      <c r="BE24" s="716"/>
      <c r="BF24" s="716"/>
      <c r="BG24" s="716"/>
      <c r="BH24" s="716"/>
      <c r="BI24" s="716"/>
      <c r="BJ24" s="716"/>
      <c r="BK24" s="716"/>
      <c r="BL24" s="716"/>
      <c r="BM24" s="716"/>
      <c r="BN24" s="716"/>
      <c r="BO24" s="716"/>
      <c r="BP24" s="716"/>
      <c r="BQ24" s="716"/>
      <c r="BR24" s="716"/>
      <c r="BS24" s="716"/>
      <c r="BT24" s="716"/>
      <c r="BU24" s="716"/>
      <c r="BV24" s="716"/>
      <c r="BW24" s="716"/>
      <c r="BX24" s="716"/>
      <c r="BY24" s="716"/>
      <c r="BZ24" s="716"/>
      <c r="CA24" s="716"/>
      <c r="CB24" s="716"/>
      <c r="CC24" s="716"/>
      <c r="CD24" s="716"/>
      <c r="CE24" s="716"/>
      <c r="CF24" s="716"/>
      <c r="CG24" s="716"/>
      <c r="CH24" s="716"/>
      <c r="CI24" s="716"/>
      <c r="CJ24" s="716"/>
      <c r="CK24" s="716"/>
      <c r="CL24" s="716"/>
      <c r="CM24" s="716"/>
      <c r="CN24" s="716"/>
      <c r="CO24" s="716"/>
      <c r="CP24" s="716"/>
      <c r="CQ24" s="716"/>
      <c r="CR24" s="716"/>
      <c r="CS24" s="716"/>
      <c r="CT24" s="716"/>
      <c r="CU24" s="716"/>
      <c r="CV24" s="716"/>
      <c r="CW24" s="716"/>
      <c r="CX24" s="716"/>
      <c r="CY24" s="716"/>
      <c r="CZ24" s="716"/>
      <c r="DA24" s="716"/>
      <c r="DB24" s="716"/>
      <c r="DC24" s="716"/>
      <c r="DD24" s="716"/>
      <c r="DE24" s="716"/>
      <c r="DF24" s="716"/>
      <c r="DG24" s="716"/>
      <c r="DH24" s="716"/>
      <c r="DI24" s="716"/>
      <c r="DJ24" s="716"/>
      <c r="DK24" s="716"/>
      <c r="DL24" s="716"/>
      <c r="DM24" s="716"/>
      <c r="DN24" s="716"/>
      <c r="DO24" s="716"/>
      <c r="DP24" s="716"/>
      <c r="DQ24" s="716"/>
      <c r="DR24" s="716"/>
      <c r="DS24" s="716"/>
      <c r="DT24" s="716"/>
      <c r="DU24" s="716"/>
      <c r="DV24" s="716"/>
      <c r="DW24" s="716"/>
      <c r="DX24" s="716"/>
      <c r="DY24" s="716"/>
      <c r="DZ24" s="716"/>
      <c r="EA24" s="716"/>
      <c r="EB24" s="716"/>
      <c r="EC24" s="716"/>
      <c r="ED24" s="716"/>
      <c r="EE24" s="716"/>
      <c r="EF24" s="716"/>
      <c r="EG24" s="716"/>
      <c r="EH24" s="716"/>
      <c r="EI24" s="716"/>
      <c r="EJ24" s="716"/>
      <c r="EK24" s="716"/>
      <c r="EL24" s="716"/>
      <c r="EM24" s="716"/>
      <c r="EN24" s="716"/>
      <c r="EO24" s="716"/>
      <c r="EP24" s="716"/>
      <c r="EQ24" s="716"/>
      <c r="ER24" s="716"/>
      <c r="ES24" s="716"/>
      <c r="ET24" s="716"/>
      <c r="EU24" s="716"/>
      <c r="EV24" s="716"/>
      <c r="EW24" s="716"/>
      <c r="EX24" s="716"/>
      <c r="EY24" s="716"/>
      <c r="EZ24" s="716"/>
      <c r="FA24" s="716"/>
      <c r="FB24" s="716"/>
      <c r="FC24" s="716"/>
      <c r="FD24" s="716"/>
      <c r="FE24" s="716"/>
      <c r="FF24" s="716"/>
      <c r="FG24" s="716"/>
      <c r="FH24" s="716"/>
      <c r="FI24" s="716"/>
      <c r="FJ24" s="716"/>
      <c r="FK24" s="716"/>
      <c r="FL24" s="716"/>
      <c r="FM24" s="716"/>
      <c r="FN24" s="716"/>
      <c r="FO24" s="716"/>
      <c r="FP24" s="716"/>
      <c r="FQ24" s="716"/>
      <c r="FR24" s="716"/>
      <c r="FS24" s="716"/>
      <c r="FT24" s="716"/>
      <c r="FU24" s="716"/>
      <c r="FV24" s="716"/>
      <c r="FW24" s="716"/>
      <c r="FX24" s="716"/>
      <c r="FY24" s="716"/>
      <c r="FZ24" s="716"/>
      <c r="GA24" s="716"/>
    </row>
    <row r="25" spans="1:183" ht="19.95" customHeight="1" x14ac:dyDescent="0.3">
      <c r="A25" s="10"/>
      <c r="B25" s="737" t="s">
        <v>552</v>
      </c>
      <c r="C25" s="739">
        <v>0</v>
      </c>
      <c r="D25" s="740">
        <v>0</v>
      </c>
      <c r="E25" s="740">
        <v>0</v>
      </c>
      <c r="F25" s="740">
        <v>0</v>
      </c>
      <c r="G25" s="741">
        <v>0</v>
      </c>
      <c r="H25" s="1420" t="s">
        <v>553</v>
      </c>
      <c r="I25" s="800">
        <f>IF(D67&lt;&gt;"",0,SUM(C25:G25))</f>
        <v>0</v>
      </c>
      <c r="Q25" s="742">
        <f>I24</f>
        <v>0</v>
      </c>
      <c r="R25" s="460" t="s">
        <v>280</v>
      </c>
      <c r="S25" s="742">
        <f>I26</f>
        <v>0</v>
      </c>
      <c r="T25" s="742">
        <f>I25</f>
        <v>0</v>
      </c>
      <c r="U25" s="716" t="str">
        <f>IF(OR(C24&lt;&gt;"",C25&lt;&gt;"",C26&lt;&gt;""),C23,"")</f>
        <v>Avión</v>
      </c>
      <c r="V25" s="27">
        <f>SUM(I27+I31+I35)</f>
        <v>0</v>
      </c>
      <c r="AG25" s="716"/>
      <c r="AH25" s="716"/>
      <c r="AI25" s="716"/>
      <c r="AJ25" s="716"/>
      <c r="AK25" s="716"/>
      <c r="AL25" s="716"/>
      <c r="AM25" s="716"/>
      <c r="AN25" s="1390" t="s">
        <v>657</v>
      </c>
      <c r="AO25" s="1391"/>
      <c r="AP25" s="1391"/>
      <c r="AQ25" s="1391"/>
      <c r="AR25" s="1391"/>
      <c r="AS25" s="1392"/>
      <c r="AT25" s="716"/>
      <c r="AU25" s="716"/>
      <c r="AV25" s="716"/>
      <c r="AW25" s="716"/>
      <c r="AX25" s="716"/>
      <c r="AY25" s="716"/>
      <c r="AZ25" s="716"/>
      <c r="BA25" s="716"/>
      <c r="BB25" s="716"/>
      <c r="BC25" s="716"/>
      <c r="BD25" s="716"/>
      <c r="BE25" s="716"/>
      <c r="BF25" s="716"/>
      <c r="BG25" s="716"/>
      <c r="BH25" s="716"/>
      <c r="BI25" s="716"/>
      <c r="BJ25" s="716"/>
      <c r="BK25" s="716"/>
      <c r="BL25" s="716"/>
      <c r="BM25" s="716"/>
      <c r="BN25" s="716"/>
      <c r="BO25" s="716"/>
      <c r="BP25" s="716"/>
      <c r="BQ25" s="716"/>
      <c r="BR25" s="716"/>
      <c r="BS25" s="716"/>
      <c r="BT25" s="716"/>
      <c r="BU25" s="716"/>
      <c r="BV25" s="716"/>
      <c r="BW25" s="716"/>
      <c r="BX25" s="716"/>
      <c r="BY25" s="716"/>
      <c r="BZ25" s="716"/>
      <c r="CA25" s="716"/>
      <c r="CB25" s="716"/>
      <c r="CC25" s="716"/>
      <c r="CD25" s="716"/>
      <c r="CE25" s="716"/>
      <c r="CF25" s="716"/>
      <c r="CG25" s="716"/>
      <c r="CH25" s="716"/>
      <c r="CI25" s="716"/>
      <c r="CJ25" s="716"/>
      <c r="CK25" s="716"/>
      <c r="CL25" s="716"/>
      <c r="CM25" s="716"/>
      <c r="CN25" s="716"/>
      <c r="CO25" s="716"/>
      <c r="CP25" s="716"/>
      <c r="CQ25" s="716"/>
      <c r="CR25" s="716"/>
      <c r="CS25" s="716"/>
      <c r="CT25" s="716"/>
      <c r="CU25" s="716"/>
      <c r="CV25" s="716"/>
      <c r="CW25" s="716"/>
      <c r="CX25" s="716"/>
      <c r="CY25" s="716"/>
      <c r="CZ25" s="716"/>
      <c r="DA25" s="716"/>
      <c r="DB25" s="716"/>
      <c r="DC25" s="716"/>
      <c r="DD25" s="716"/>
      <c r="DE25" s="716"/>
      <c r="DF25" s="716"/>
      <c r="DG25" s="716"/>
      <c r="DH25" s="716"/>
      <c r="DI25" s="716"/>
      <c r="DJ25" s="716"/>
      <c r="DK25" s="716"/>
      <c r="DL25" s="716"/>
      <c r="DM25" s="716"/>
      <c r="DN25" s="716"/>
      <c r="DO25" s="716"/>
      <c r="DP25" s="716"/>
      <c r="DQ25" s="716"/>
      <c r="DR25" s="716"/>
      <c r="DS25" s="716"/>
      <c r="DT25" s="716"/>
      <c r="DU25" s="716"/>
      <c r="DV25" s="716"/>
      <c r="DW25" s="716"/>
      <c r="DX25" s="716"/>
      <c r="DY25" s="716"/>
      <c r="DZ25" s="716"/>
      <c r="EA25" s="716"/>
      <c r="EB25" s="716"/>
      <c r="EC25" s="716"/>
      <c r="ED25" s="716"/>
      <c r="EE25" s="716"/>
      <c r="EF25" s="716"/>
      <c r="EG25" s="716"/>
      <c r="EH25" s="716"/>
      <c r="EI25" s="716"/>
      <c r="EJ25" s="716"/>
      <c r="EK25" s="716"/>
      <c r="EL25" s="716"/>
      <c r="EM25" s="716"/>
      <c r="EN25" s="716"/>
      <c r="EO25" s="716"/>
      <c r="EP25" s="716"/>
      <c r="EQ25" s="716"/>
      <c r="ER25" s="716"/>
      <c r="ES25" s="716"/>
      <c r="ET25" s="716"/>
      <c r="EU25" s="716"/>
      <c r="EV25" s="716"/>
      <c r="EW25" s="716"/>
      <c r="EX25" s="716"/>
      <c r="EY25" s="716"/>
      <c r="EZ25" s="716"/>
      <c r="FA25" s="716"/>
      <c r="FB25" s="716"/>
      <c r="FC25" s="716"/>
      <c r="FD25" s="716"/>
      <c r="FE25" s="716"/>
      <c r="FF25" s="716"/>
      <c r="FG25" s="716"/>
      <c r="FH25" s="716"/>
      <c r="FI25" s="716"/>
      <c r="FJ25" s="716"/>
      <c r="FK25" s="716"/>
      <c r="FL25" s="716"/>
      <c r="FM25" s="716"/>
      <c r="FN25" s="716"/>
      <c r="FO25" s="716"/>
      <c r="FP25" s="716"/>
      <c r="FQ25" s="716"/>
      <c r="FR25" s="716"/>
      <c r="FS25" s="716"/>
      <c r="FT25" s="716"/>
      <c r="FU25" s="716"/>
      <c r="FV25" s="716"/>
      <c r="FW25" s="716"/>
      <c r="FX25" s="716"/>
      <c r="FY25" s="716"/>
      <c r="FZ25" s="716"/>
      <c r="GA25" s="716"/>
    </row>
    <row r="26" spans="1:183" ht="19.95" customHeight="1" x14ac:dyDescent="0.3">
      <c r="A26" s="10"/>
      <c r="B26" s="790" t="s">
        <v>554</v>
      </c>
      <c r="C26" s="793">
        <v>0</v>
      </c>
      <c r="D26" s="793">
        <v>0</v>
      </c>
      <c r="E26" s="793">
        <v>0</v>
      </c>
      <c r="F26" s="793">
        <v>0</v>
      </c>
      <c r="G26" s="794">
        <v>0</v>
      </c>
      <c r="H26" s="1421"/>
      <c r="I26" s="800">
        <f>IF(D67&lt;&gt;"",0,SUM(C26:G26))</f>
        <v>0</v>
      </c>
      <c r="J26" s="1425"/>
      <c r="K26" s="1426"/>
      <c r="L26" s="1426"/>
      <c r="M26" s="1426"/>
      <c r="N26" s="798"/>
      <c r="O26" s="798"/>
      <c r="P26" s="798"/>
      <c r="Q26" s="742">
        <f>IF(C31=R7,I31,0)</f>
        <v>0</v>
      </c>
      <c r="R26" s="460" t="s">
        <v>242</v>
      </c>
      <c r="S26" s="742">
        <f>IF(C31=R8,I31,0)</f>
        <v>0</v>
      </c>
      <c r="T26" s="742">
        <f>IF(C31=R9,I31,0)</f>
        <v>0</v>
      </c>
      <c r="U26" s="798" t="str">
        <f>IF(OR(D24&lt;&gt;"",D25&lt;&gt;"",D26&lt;&gt;""),D23,"")</f>
        <v>Tren</v>
      </c>
      <c r="V26" s="798"/>
      <c r="W26" s="798"/>
      <c r="X26" s="798"/>
      <c r="AG26" s="716"/>
      <c r="AH26" s="716"/>
      <c r="AI26" s="716"/>
      <c r="AJ26" s="716"/>
      <c r="AK26" s="716"/>
      <c r="AL26" s="716"/>
      <c r="AM26" s="716"/>
      <c r="AN26" s="1396"/>
      <c r="AO26" s="1010"/>
      <c r="AP26" s="1010"/>
      <c r="AQ26" s="1010"/>
      <c r="AR26" s="1010"/>
      <c r="AS26" s="1397"/>
      <c r="AT26" s="716"/>
      <c r="AU26" s="716"/>
      <c r="AV26" s="716"/>
      <c r="AW26" s="716"/>
      <c r="AX26" s="716"/>
      <c r="AY26" s="716"/>
      <c r="AZ26" s="716"/>
      <c r="BA26" s="716"/>
      <c r="BB26" s="716"/>
      <c r="BC26" s="716"/>
      <c r="BD26" s="716"/>
      <c r="BE26" s="716"/>
      <c r="BF26" s="716"/>
      <c r="BG26" s="716"/>
      <c r="BH26" s="716"/>
      <c r="BI26" s="716"/>
      <c r="BJ26" s="716"/>
      <c r="BK26" s="716"/>
      <c r="BL26" s="716"/>
      <c r="BM26" s="716"/>
      <c r="BN26" s="716"/>
      <c r="BO26" s="716"/>
      <c r="BP26" s="716"/>
      <c r="BQ26" s="716"/>
      <c r="BR26" s="716"/>
      <c r="BS26" s="716"/>
      <c r="BT26" s="716"/>
      <c r="BU26" s="716"/>
      <c r="BV26" s="716"/>
      <c r="BW26" s="716"/>
      <c r="BX26" s="716"/>
      <c r="BY26" s="716"/>
      <c r="BZ26" s="716"/>
      <c r="CA26" s="716"/>
      <c r="CB26" s="716"/>
      <c r="CC26" s="716"/>
      <c r="CD26" s="716"/>
      <c r="CE26" s="716"/>
      <c r="CF26" s="716"/>
      <c r="CG26" s="716"/>
      <c r="CH26" s="716"/>
      <c r="CI26" s="716"/>
      <c r="CJ26" s="716"/>
      <c r="CK26" s="716"/>
      <c r="CL26" s="716"/>
      <c r="CM26" s="716"/>
      <c r="CN26" s="716"/>
      <c r="CO26" s="716"/>
      <c r="CP26" s="716"/>
      <c r="CQ26" s="716"/>
      <c r="CR26" s="716"/>
      <c r="CS26" s="716"/>
      <c r="CT26" s="716"/>
      <c r="CU26" s="716"/>
      <c r="CV26" s="716"/>
      <c r="CW26" s="716"/>
      <c r="CX26" s="716"/>
      <c r="CY26" s="716"/>
      <c r="CZ26" s="716"/>
      <c r="DA26" s="716"/>
      <c r="DB26" s="716"/>
      <c r="DC26" s="716"/>
      <c r="DD26" s="716"/>
      <c r="DE26" s="716"/>
      <c r="DF26" s="716"/>
      <c r="DG26" s="716"/>
      <c r="DH26" s="716"/>
      <c r="DI26" s="716"/>
      <c r="DJ26" s="716"/>
      <c r="DK26" s="716"/>
      <c r="DL26" s="716"/>
      <c r="DM26" s="716"/>
      <c r="DN26" s="716"/>
      <c r="DO26" s="716"/>
      <c r="DP26" s="716"/>
      <c r="DQ26" s="716"/>
      <c r="DR26" s="716"/>
      <c r="DS26" s="716"/>
      <c r="DT26" s="716"/>
      <c r="DU26" s="716"/>
      <c r="DV26" s="716"/>
      <c r="DW26" s="716"/>
      <c r="DX26" s="716"/>
      <c r="DY26" s="716"/>
      <c r="DZ26" s="716"/>
      <c r="EA26" s="716"/>
      <c r="EB26" s="716"/>
      <c r="EC26" s="716"/>
      <c r="ED26" s="716"/>
      <c r="EE26" s="716"/>
      <c r="EF26" s="716"/>
      <c r="EG26" s="716"/>
      <c r="EH26" s="716"/>
      <c r="EI26" s="716"/>
      <c r="EJ26" s="716"/>
      <c r="EK26" s="716"/>
      <c r="EL26" s="716"/>
      <c r="EM26" s="716"/>
      <c r="EN26" s="716"/>
      <c r="EO26" s="716"/>
      <c r="EP26" s="716"/>
      <c r="EQ26" s="716"/>
      <c r="ER26" s="716"/>
      <c r="ES26" s="716"/>
      <c r="ET26" s="716"/>
      <c r="EU26" s="716"/>
      <c r="EV26" s="716"/>
      <c r="EW26" s="716"/>
      <c r="EX26" s="716"/>
      <c r="EY26" s="716"/>
      <c r="EZ26" s="716"/>
      <c r="FA26" s="716"/>
      <c r="FB26" s="716"/>
      <c r="FC26" s="716"/>
      <c r="FD26" s="716"/>
      <c r="FE26" s="716"/>
      <c r="FF26" s="716"/>
      <c r="FG26" s="716"/>
      <c r="FH26" s="716"/>
      <c r="FI26" s="716"/>
      <c r="FJ26" s="716"/>
      <c r="FK26" s="716"/>
      <c r="FL26" s="716"/>
      <c r="FM26" s="716"/>
      <c r="FN26" s="716"/>
      <c r="FO26" s="716"/>
      <c r="FP26" s="716"/>
      <c r="FQ26" s="716"/>
      <c r="FR26" s="716"/>
      <c r="FS26" s="716"/>
      <c r="FT26" s="716"/>
      <c r="FU26" s="716"/>
      <c r="FV26" s="716"/>
      <c r="FW26" s="716"/>
      <c r="FX26" s="716"/>
      <c r="FY26" s="716"/>
      <c r="FZ26" s="716"/>
      <c r="GA26" s="716"/>
    </row>
    <row r="27" spans="1:183" ht="23.1" customHeight="1" x14ac:dyDescent="0.3">
      <c r="A27" s="10"/>
      <c r="B27" s="877" t="s">
        <v>648</v>
      </c>
      <c r="C27" s="1427" t="s">
        <v>555</v>
      </c>
      <c r="D27" s="1428"/>
      <c r="E27" s="1428"/>
      <c r="F27" s="1428"/>
      <c r="G27" s="1428"/>
      <c r="H27" s="1429"/>
      <c r="I27" s="829">
        <f>IF(D67&lt;&gt;"",0,SUM(I24:I26))</f>
        <v>0</v>
      </c>
      <c r="Q27" s="742">
        <f>IF(C34=R7,M40,0)</f>
        <v>0</v>
      </c>
      <c r="R27" s="460" t="s">
        <v>241</v>
      </c>
      <c r="S27" s="742">
        <f>IF(C34=R8,I35,0)</f>
        <v>0</v>
      </c>
      <c r="T27" s="826">
        <f>IF(C34=R9,M40,0)</f>
        <v>0</v>
      </c>
      <c r="U27" s="716" t="str">
        <f>IF(OR(E24&lt;&gt;"",E25&lt;&gt;"",E26&lt;&gt;""),E23,"")</f>
        <v>Bus</v>
      </c>
      <c r="AG27" s="716"/>
      <c r="AH27" s="716"/>
      <c r="AI27" s="716"/>
      <c r="AJ27" s="716"/>
      <c r="AK27" s="716"/>
      <c r="AL27" s="716"/>
      <c r="AM27" s="716"/>
      <c r="AN27" s="716"/>
      <c r="AO27" s="716"/>
      <c r="AP27" s="716"/>
      <c r="AQ27" s="716"/>
      <c r="AR27" s="716"/>
      <c r="AS27" s="716"/>
      <c r="AT27" s="716"/>
      <c r="AU27" s="716"/>
      <c r="AV27" s="716"/>
      <c r="AW27" s="716"/>
      <c r="AX27" s="716"/>
      <c r="AY27" s="716"/>
      <c r="AZ27" s="716"/>
      <c r="BA27" s="716"/>
      <c r="BB27" s="716"/>
      <c r="BC27" s="716"/>
      <c r="BD27" s="716"/>
      <c r="BE27" s="716"/>
      <c r="BF27" s="716"/>
      <c r="BG27" s="716"/>
      <c r="BH27" s="716"/>
      <c r="BI27" s="716"/>
      <c r="BJ27" s="716"/>
      <c r="BK27" s="716"/>
      <c r="BL27" s="716"/>
      <c r="BM27" s="716"/>
      <c r="BN27" s="716"/>
      <c r="BO27" s="716"/>
      <c r="BP27" s="716"/>
      <c r="BQ27" s="716"/>
      <c r="BR27" s="716"/>
      <c r="BS27" s="716"/>
      <c r="BT27" s="716"/>
      <c r="BU27" s="716"/>
      <c r="BV27" s="716"/>
      <c r="BW27" s="716"/>
      <c r="BX27" s="716"/>
      <c r="BY27" s="716"/>
      <c r="BZ27" s="716"/>
      <c r="CA27" s="716"/>
      <c r="CB27" s="716"/>
      <c r="CC27" s="716"/>
      <c r="CD27" s="716"/>
      <c r="CE27" s="716"/>
      <c r="CF27" s="716"/>
      <c r="CG27" s="716"/>
      <c r="CH27" s="716"/>
      <c r="CI27" s="716"/>
      <c r="CJ27" s="716"/>
      <c r="CK27" s="716"/>
      <c r="CL27" s="716"/>
      <c r="CM27" s="716"/>
      <c r="CN27" s="716"/>
      <c r="CO27" s="716"/>
      <c r="CP27" s="716"/>
      <c r="CQ27" s="716"/>
      <c r="CR27" s="716"/>
      <c r="CS27" s="716"/>
      <c r="CT27" s="716"/>
      <c r="CU27" s="716"/>
      <c r="CV27" s="716"/>
      <c r="CW27" s="716"/>
      <c r="CX27" s="716"/>
      <c r="CY27" s="716"/>
      <c r="CZ27" s="716"/>
      <c r="DA27" s="716"/>
      <c r="DB27" s="716"/>
      <c r="DC27" s="716"/>
      <c r="DD27" s="716"/>
      <c r="DE27" s="716"/>
      <c r="DF27" s="716"/>
      <c r="DG27" s="716"/>
      <c r="DH27" s="716"/>
      <c r="DI27" s="716"/>
      <c r="DJ27" s="716"/>
      <c r="DK27" s="716"/>
      <c r="DL27" s="716"/>
      <c r="DM27" s="716"/>
      <c r="DN27" s="716"/>
      <c r="DO27" s="716"/>
      <c r="DP27" s="716"/>
      <c r="DQ27" s="716"/>
      <c r="DR27" s="716"/>
      <c r="DS27" s="716"/>
      <c r="DT27" s="716"/>
      <c r="DU27" s="716"/>
      <c r="DV27" s="716"/>
      <c r="DW27" s="716"/>
      <c r="DX27" s="716"/>
      <c r="DY27" s="716"/>
      <c r="DZ27" s="716"/>
      <c r="EA27" s="716"/>
      <c r="EB27" s="716"/>
      <c r="EC27" s="716"/>
      <c r="ED27" s="716"/>
      <c r="EE27" s="716"/>
      <c r="EF27" s="716"/>
      <c r="EG27" s="716"/>
      <c r="EH27" s="716"/>
      <c r="EI27" s="716"/>
      <c r="EJ27" s="716"/>
      <c r="EK27" s="716"/>
      <c r="EL27" s="716"/>
      <c r="EM27" s="716"/>
      <c r="EN27" s="716"/>
      <c r="EO27" s="716"/>
      <c r="EP27" s="716"/>
      <c r="EQ27" s="716"/>
      <c r="ER27" s="716"/>
      <c r="ES27" s="716"/>
      <c r="ET27" s="716"/>
      <c r="EU27" s="716"/>
      <c r="EV27" s="716"/>
      <c r="EW27" s="716"/>
      <c r="EX27" s="716"/>
      <c r="EY27" s="716"/>
      <c r="EZ27" s="716"/>
      <c r="FA27" s="716"/>
      <c r="FB27" s="716"/>
      <c r="FC27" s="716"/>
      <c r="FD27" s="716"/>
      <c r="FE27" s="716"/>
      <c r="FF27" s="716"/>
      <c r="FG27" s="716"/>
      <c r="FH27" s="716"/>
      <c r="FI27" s="716"/>
      <c r="FJ27" s="716"/>
      <c r="FK27" s="716"/>
      <c r="FL27" s="716"/>
      <c r="FM27" s="716"/>
      <c r="FN27" s="716"/>
      <c r="FO27" s="716"/>
      <c r="FP27" s="716"/>
      <c r="FQ27" s="716"/>
      <c r="FR27" s="716"/>
      <c r="FS27" s="716"/>
      <c r="FT27" s="716"/>
      <c r="FU27" s="716"/>
      <c r="FV27" s="716"/>
      <c r="FW27" s="716"/>
      <c r="FX27" s="716"/>
      <c r="FY27" s="716"/>
      <c r="FZ27" s="716"/>
      <c r="GA27" s="716"/>
    </row>
    <row r="28" spans="1:183" ht="14.25" customHeight="1" thickBot="1" x14ac:dyDescent="0.3">
      <c r="A28" s="10"/>
      <c r="B28" s="746"/>
      <c r="C28" s="746"/>
      <c r="D28" s="746"/>
      <c r="E28" s="746"/>
      <c r="F28" s="746"/>
      <c r="G28" s="746"/>
      <c r="H28" s="746"/>
      <c r="I28" s="747"/>
      <c r="Q28" s="754">
        <f>I39</f>
        <v>0</v>
      </c>
      <c r="R28" s="827" t="s">
        <v>556</v>
      </c>
      <c r="S28" s="743"/>
      <c r="T28" s="744"/>
      <c r="U28" s="716" t="str">
        <f>IF(OR(F24&lt;&gt;"",F25&lt;&gt;"",F26&lt;&gt;""),F23,"")</f>
        <v>Taxi</v>
      </c>
      <c r="AG28" s="716"/>
      <c r="AH28" s="716"/>
      <c r="AI28" s="716"/>
      <c r="AJ28" s="716"/>
      <c r="AK28" s="716"/>
      <c r="AL28" s="716"/>
      <c r="AM28" s="716"/>
      <c r="AN28" s="1390" t="s">
        <v>647</v>
      </c>
      <c r="AO28" s="1391"/>
      <c r="AP28" s="1391"/>
      <c r="AQ28" s="1392"/>
      <c r="AR28" s="716"/>
      <c r="AS28" s="716"/>
      <c r="AT28" s="716"/>
      <c r="AU28" s="716"/>
      <c r="AV28" s="716"/>
      <c r="AW28" s="716"/>
      <c r="AX28" s="716"/>
      <c r="AY28" s="716"/>
      <c r="AZ28" s="716"/>
      <c r="BA28" s="716"/>
      <c r="BB28" s="716"/>
      <c r="BC28" s="716"/>
      <c r="BD28" s="716"/>
      <c r="BE28" s="716"/>
      <c r="BF28" s="716"/>
      <c r="BG28" s="716"/>
      <c r="BH28" s="716"/>
      <c r="BI28" s="716"/>
      <c r="BJ28" s="716"/>
      <c r="BK28" s="716"/>
      <c r="BL28" s="716"/>
      <c r="BM28" s="716"/>
      <c r="BN28" s="716"/>
      <c r="BO28" s="716"/>
      <c r="BP28" s="716"/>
      <c r="BQ28" s="716"/>
      <c r="BR28" s="716"/>
      <c r="BS28" s="716"/>
      <c r="BT28" s="716"/>
      <c r="BU28" s="716"/>
      <c r="BV28" s="716"/>
      <c r="BW28" s="716"/>
      <c r="BX28" s="716"/>
      <c r="BY28" s="716"/>
      <c r="BZ28" s="716"/>
      <c r="CA28" s="716"/>
      <c r="CB28" s="716"/>
      <c r="CC28" s="716"/>
      <c r="CD28" s="716"/>
      <c r="CE28" s="716"/>
      <c r="CF28" s="716"/>
      <c r="CG28" s="716"/>
      <c r="CH28" s="716"/>
      <c r="CI28" s="716"/>
      <c r="CJ28" s="716"/>
      <c r="CK28" s="716"/>
      <c r="CL28" s="716"/>
      <c r="CM28" s="716"/>
      <c r="CN28" s="716"/>
      <c r="CO28" s="716"/>
      <c r="CP28" s="716"/>
      <c r="CQ28" s="716"/>
      <c r="CR28" s="716"/>
      <c r="CS28" s="716"/>
      <c r="CT28" s="716"/>
      <c r="CU28" s="716"/>
      <c r="CV28" s="716"/>
      <c r="CW28" s="716"/>
      <c r="CX28" s="716"/>
      <c r="CY28" s="716"/>
      <c r="CZ28" s="716"/>
      <c r="DA28" s="716"/>
      <c r="DB28" s="716"/>
      <c r="DC28" s="716"/>
      <c r="DD28" s="716"/>
      <c r="DE28" s="716"/>
      <c r="DF28" s="716"/>
      <c r="DG28" s="716"/>
      <c r="DH28" s="716"/>
      <c r="DI28" s="716"/>
      <c r="DJ28" s="716"/>
      <c r="DK28" s="716"/>
      <c r="DL28" s="716"/>
      <c r="DM28" s="716"/>
      <c r="DN28" s="716"/>
      <c r="DO28" s="716"/>
      <c r="DP28" s="716"/>
      <c r="DQ28" s="716"/>
      <c r="DR28" s="716"/>
      <c r="DS28" s="716"/>
      <c r="DT28" s="716"/>
      <c r="DU28" s="716"/>
      <c r="DV28" s="716"/>
      <c r="DW28" s="716"/>
      <c r="DX28" s="716"/>
      <c r="DY28" s="716"/>
      <c r="DZ28" s="716"/>
      <c r="EA28" s="716"/>
      <c r="EB28" s="716"/>
      <c r="EC28" s="716"/>
      <c r="ED28" s="716"/>
      <c r="EE28" s="716"/>
      <c r="EF28" s="716"/>
      <c r="EG28" s="716"/>
      <c r="EH28" s="716"/>
      <c r="EI28" s="716"/>
      <c r="EJ28" s="716"/>
      <c r="EK28" s="716"/>
      <c r="EL28" s="716"/>
      <c r="EM28" s="716"/>
      <c r="EN28" s="716"/>
      <c r="EO28" s="716"/>
      <c r="EP28" s="716"/>
      <c r="EQ28" s="716"/>
      <c r="ER28" s="716"/>
      <c r="ES28" s="716"/>
      <c r="ET28" s="716"/>
      <c r="EU28" s="716"/>
      <c r="EV28" s="716"/>
      <c r="EW28" s="716"/>
      <c r="EX28" s="716"/>
      <c r="EY28" s="716"/>
      <c r="EZ28" s="716"/>
      <c r="FA28" s="716"/>
      <c r="FB28" s="716"/>
      <c r="FC28" s="716"/>
      <c r="FD28" s="716"/>
      <c r="FE28" s="716"/>
      <c r="FF28" s="716"/>
      <c r="FG28" s="716"/>
      <c r="FH28" s="716"/>
      <c r="FI28" s="716"/>
      <c r="FJ28" s="716"/>
      <c r="FK28" s="716"/>
      <c r="FL28" s="716"/>
      <c r="FM28" s="716"/>
      <c r="FN28" s="716"/>
      <c r="FO28" s="716"/>
      <c r="FP28" s="716"/>
      <c r="FQ28" s="716"/>
      <c r="FR28" s="716"/>
      <c r="FS28" s="716"/>
      <c r="FT28" s="716"/>
      <c r="FU28" s="716"/>
      <c r="FV28" s="716"/>
      <c r="FW28" s="716"/>
      <c r="FX28" s="716"/>
      <c r="FY28" s="716"/>
      <c r="FZ28" s="716"/>
      <c r="GA28" s="716"/>
    </row>
    <row r="29" spans="1:183" ht="23.1" customHeight="1" thickTop="1" thickBot="1" x14ac:dyDescent="0.35">
      <c r="B29" s="511"/>
      <c r="C29" s="1422" t="s">
        <v>528</v>
      </c>
      <c r="D29" s="1423"/>
      <c r="E29" s="1424" t="str">
        <f>IF(D30="","Debe elegir primero el Decreto en: Elegir Decreto  ▼","")</f>
        <v>Debe elegir primero el Decreto en: Elegir Decreto  ▼</v>
      </c>
      <c r="F29" s="1424"/>
      <c r="G29" s="1424"/>
      <c r="H29" s="1424"/>
      <c r="I29" s="1424"/>
      <c r="Q29" s="742">
        <f>H39</f>
        <v>0</v>
      </c>
      <c r="R29" s="724" t="s">
        <v>557</v>
      </c>
      <c r="S29" s="743"/>
      <c r="T29" s="744"/>
      <c r="U29" s="716" t="str">
        <f>IF(OR(G24&lt;&gt;"",G25&lt;&gt;"",G26&lt;&gt;""),G23,"")</f>
        <v>Metro</v>
      </c>
      <c r="AG29" s="716"/>
      <c r="AH29" s="716"/>
      <c r="AI29" s="716"/>
      <c r="AJ29" s="716"/>
      <c r="AK29" s="716"/>
      <c r="AL29" s="716"/>
      <c r="AM29" s="716"/>
      <c r="AN29" s="1396"/>
      <c r="AO29" s="1010"/>
      <c r="AP29" s="1010"/>
      <c r="AQ29" s="1397"/>
      <c r="AR29" s="716"/>
      <c r="AS29" s="716"/>
      <c r="AT29" s="716"/>
      <c r="AU29" s="716"/>
      <c r="AV29" s="716"/>
      <c r="AW29" s="716"/>
      <c r="AX29" s="716"/>
      <c r="AY29" s="716"/>
      <c r="AZ29" s="716"/>
      <c r="BA29" s="716"/>
      <c r="BB29" s="716"/>
      <c r="BC29" s="716"/>
      <c r="BD29" s="716"/>
      <c r="BE29" s="716"/>
      <c r="BF29" s="716"/>
      <c r="BG29" s="716"/>
      <c r="BH29" s="716"/>
      <c r="BI29" s="716"/>
      <c r="BJ29" s="716"/>
      <c r="BK29" s="716"/>
      <c r="BL29" s="716"/>
      <c r="BM29" s="716"/>
      <c r="BN29" s="716"/>
      <c r="BO29" s="716"/>
      <c r="BP29" s="716"/>
      <c r="BQ29" s="716"/>
      <c r="BR29" s="716"/>
      <c r="BS29" s="716"/>
      <c r="BT29" s="716"/>
      <c r="BU29" s="716"/>
      <c r="BV29" s="716"/>
      <c r="BW29" s="716"/>
      <c r="BX29" s="716"/>
      <c r="BY29" s="716"/>
      <c r="BZ29" s="716"/>
      <c r="CA29" s="716"/>
      <c r="CB29" s="716"/>
      <c r="CC29" s="716"/>
      <c r="CD29" s="716"/>
      <c r="CE29" s="716"/>
      <c r="CF29" s="716"/>
      <c r="CG29" s="716"/>
      <c r="CH29" s="716"/>
      <c r="CI29" s="716"/>
      <c r="CJ29" s="716"/>
      <c r="CK29" s="716"/>
      <c r="CL29" s="716"/>
      <c r="CM29" s="716"/>
      <c r="CN29" s="716"/>
      <c r="CO29" s="716"/>
      <c r="CP29" s="716"/>
      <c r="CQ29" s="716"/>
      <c r="CR29" s="716"/>
      <c r="CS29" s="716"/>
      <c r="CT29" s="716"/>
      <c r="CU29" s="716"/>
      <c r="CV29" s="716"/>
      <c r="CW29" s="716"/>
      <c r="CX29" s="716"/>
      <c r="CY29" s="716"/>
      <c r="CZ29" s="716"/>
      <c r="DA29" s="716"/>
      <c r="DB29" s="716"/>
      <c r="DC29" s="716"/>
      <c r="DD29" s="716"/>
      <c r="DE29" s="716"/>
      <c r="DF29" s="716"/>
      <c r="DG29" s="716"/>
      <c r="DH29" s="716"/>
      <c r="DI29" s="716"/>
      <c r="DJ29" s="716"/>
      <c r="DK29" s="716"/>
      <c r="DL29" s="716"/>
      <c r="DM29" s="716"/>
      <c r="DN29" s="716"/>
      <c r="DO29" s="716"/>
      <c r="DP29" s="716"/>
      <c r="DQ29" s="716"/>
      <c r="DR29" s="716"/>
      <c r="DS29" s="716"/>
      <c r="DT29" s="716"/>
      <c r="DU29" s="716"/>
      <c r="DV29" s="716"/>
      <c r="DW29" s="716"/>
      <c r="DX29" s="716"/>
      <c r="DY29" s="716"/>
      <c r="DZ29" s="716"/>
      <c r="EA29" s="716"/>
      <c r="EB29" s="716"/>
      <c r="EC29" s="716"/>
      <c r="ED29" s="716"/>
      <c r="EE29" s="716"/>
      <c r="EF29" s="716"/>
      <c r="EG29" s="716"/>
      <c r="EH29" s="716"/>
      <c r="EI29" s="716"/>
      <c r="EJ29" s="716"/>
      <c r="EK29" s="716"/>
      <c r="EL29" s="716"/>
      <c r="EM29" s="716"/>
      <c r="EN29" s="716"/>
      <c r="EO29" s="716"/>
      <c r="EP29" s="716"/>
      <c r="EQ29" s="716"/>
      <c r="ER29" s="716"/>
      <c r="ES29" s="716"/>
      <c r="ET29" s="716"/>
      <c r="EU29" s="716"/>
      <c r="EV29" s="716"/>
      <c r="EW29" s="716"/>
      <c r="EX29" s="716"/>
      <c r="EY29" s="716"/>
      <c r="EZ29" s="716"/>
      <c r="FA29" s="716"/>
      <c r="FB29" s="716"/>
      <c r="FC29" s="716"/>
      <c r="FD29" s="716"/>
      <c r="FE29" s="716"/>
      <c r="FF29" s="716"/>
      <c r="FG29" s="716"/>
      <c r="FH29" s="716"/>
      <c r="FI29" s="716"/>
      <c r="FJ29" s="716"/>
      <c r="FK29" s="716"/>
      <c r="FL29" s="716"/>
      <c r="FM29" s="716"/>
      <c r="FN29" s="716"/>
      <c r="FO29" s="716"/>
      <c r="FP29" s="716"/>
      <c r="FQ29" s="716"/>
      <c r="FR29" s="716"/>
      <c r="FS29" s="716"/>
      <c r="FT29" s="716"/>
      <c r="FU29" s="716"/>
      <c r="FV29" s="716"/>
      <c r="FW29" s="716"/>
      <c r="FX29" s="716"/>
      <c r="FY29" s="716"/>
      <c r="FZ29" s="716"/>
      <c r="GA29" s="716"/>
    </row>
    <row r="30" spans="1:183" ht="19.95" customHeight="1" thickTop="1" thickBot="1" x14ac:dyDescent="0.35">
      <c r="B30" s="511"/>
      <c r="C30" s="803" t="s">
        <v>600</v>
      </c>
      <c r="D30" s="804" t="str">
        <f>IF(C29=R3,T3,IF(C29=R4,T4,""))</f>
        <v/>
      </c>
      <c r="E30" s="808" t="s">
        <v>559</v>
      </c>
      <c r="F30" s="807" t="s">
        <v>560</v>
      </c>
      <c r="G30" s="1411" t="str">
        <f>IF(C31="No hay gstos","",IF(C31=C15,"","Indicar el nombre del perceptor"))</f>
        <v>Indicar el nombre del perceptor</v>
      </c>
      <c r="H30" s="1412"/>
      <c r="I30" s="809" t="s">
        <v>561</v>
      </c>
      <c r="L30" s="718" t="s">
        <v>558</v>
      </c>
      <c r="M30" s="718" t="s">
        <v>562</v>
      </c>
      <c r="N30" s="290" t="s">
        <v>195</v>
      </c>
      <c r="Q30" s="748" t="s">
        <v>563</v>
      </c>
      <c r="R30" s="749" t="s">
        <v>564</v>
      </c>
      <c r="S30" s="743"/>
      <c r="T30" s="744"/>
      <c r="U30" s="716" t="str">
        <f>IF(H24&lt;&gt;0,H23,"")</f>
        <v/>
      </c>
      <c r="AG30" s="716"/>
      <c r="AH30" s="716"/>
      <c r="AI30" s="716"/>
      <c r="AJ30" s="716"/>
      <c r="AK30" s="716"/>
      <c r="AL30" s="716"/>
      <c r="AM30" s="716"/>
      <c r="AN30" s="716"/>
      <c r="AO30" s="716"/>
      <c r="AP30" s="716"/>
      <c r="AQ30" s="716"/>
      <c r="AR30" s="716"/>
      <c r="AS30" s="716"/>
      <c r="AT30" s="716"/>
      <c r="AU30" s="716"/>
      <c r="AV30" s="716"/>
      <c r="AW30" s="716"/>
      <c r="AX30" s="716"/>
      <c r="AY30" s="716"/>
      <c r="AZ30" s="716"/>
      <c r="BA30" s="716"/>
      <c r="BB30" s="716"/>
      <c r="BC30" s="716"/>
      <c r="BD30" s="716"/>
      <c r="BE30" s="716"/>
      <c r="BF30" s="716"/>
      <c r="BG30" s="716"/>
      <c r="BH30" s="716"/>
      <c r="BI30" s="716"/>
      <c r="BJ30" s="716"/>
      <c r="BK30" s="716"/>
      <c r="BL30" s="716"/>
      <c r="BM30" s="716"/>
      <c r="BN30" s="716"/>
      <c r="BO30" s="716"/>
      <c r="BP30" s="716"/>
      <c r="BQ30" s="716"/>
      <c r="BR30" s="716"/>
      <c r="BS30" s="716"/>
      <c r="BT30" s="716"/>
      <c r="BU30" s="716"/>
      <c r="BV30" s="716"/>
      <c r="BW30" s="716"/>
      <c r="BX30" s="716"/>
      <c r="BY30" s="716"/>
      <c r="BZ30" s="716"/>
      <c r="CA30" s="716"/>
      <c r="CB30" s="716"/>
      <c r="CC30" s="716"/>
      <c r="CD30" s="716"/>
      <c r="CE30" s="716"/>
      <c r="CF30" s="716"/>
      <c r="CG30" s="716"/>
      <c r="CH30" s="716"/>
      <c r="CI30" s="716"/>
      <c r="CJ30" s="716"/>
      <c r="CK30" s="716"/>
      <c r="CL30" s="716"/>
      <c r="CM30" s="716"/>
      <c r="CN30" s="716"/>
      <c r="CO30" s="716"/>
      <c r="CP30" s="716"/>
      <c r="CQ30" s="716"/>
      <c r="CR30" s="716"/>
      <c r="CS30" s="716"/>
      <c r="CT30" s="716"/>
      <c r="CU30" s="716"/>
      <c r="CV30" s="716"/>
      <c r="CW30" s="716"/>
      <c r="CX30" s="716"/>
      <c r="CY30" s="716"/>
      <c r="CZ30" s="716"/>
      <c r="DA30" s="716"/>
      <c r="DB30" s="716"/>
      <c r="DC30" s="716"/>
      <c r="DD30" s="716"/>
      <c r="DE30" s="716"/>
      <c r="DF30" s="716"/>
      <c r="DG30" s="716"/>
      <c r="DH30" s="716"/>
      <c r="DI30" s="716"/>
      <c r="DJ30" s="716"/>
      <c r="DK30" s="716"/>
      <c r="DL30" s="716"/>
      <c r="DM30" s="716"/>
      <c r="DN30" s="716"/>
      <c r="DO30" s="716"/>
      <c r="DP30" s="716"/>
      <c r="DQ30" s="716"/>
      <c r="DR30" s="716"/>
      <c r="DS30" s="716"/>
      <c r="DT30" s="716"/>
      <c r="DU30" s="716"/>
      <c r="DV30" s="716"/>
      <c r="DW30" s="716"/>
      <c r="DX30" s="716"/>
      <c r="DY30" s="716"/>
      <c r="DZ30" s="716"/>
      <c r="EA30" s="716"/>
      <c r="EB30" s="716"/>
      <c r="EC30" s="716"/>
      <c r="ED30" s="716"/>
      <c r="EE30" s="716"/>
      <c r="EF30" s="716"/>
      <c r="EG30" s="716"/>
      <c r="EH30" s="716"/>
      <c r="EI30" s="716"/>
      <c r="EJ30" s="716"/>
      <c r="EK30" s="716"/>
      <c r="EL30" s="716"/>
      <c r="EM30" s="716"/>
      <c r="EN30" s="716"/>
      <c r="EO30" s="716"/>
      <c r="EP30" s="716"/>
      <c r="EQ30" s="716"/>
      <c r="ER30" s="716"/>
      <c r="ES30" s="716"/>
      <c r="ET30" s="716"/>
      <c r="EU30" s="716"/>
      <c r="EV30" s="716"/>
      <c r="EW30" s="716"/>
      <c r="EX30" s="716"/>
      <c r="EY30" s="716"/>
      <c r="EZ30" s="716"/>
      <c r="FA30" s="716"/>
      <c r="FB30" s="716"/>
      <c r="FC30" s="716"/>
      <c r="FD30" s="716"/>
      <c r="FE30" s="716"/>
      <c r="FF30" s="716"/>
      <c r="FG30" s="716"/>
      <c r="FH30" s="716"/>
      <c r="FI30" s="716"/>
      <c r="FJ30" s="716"/>
      <c r="FK30" s="716"/>
      <c r="FL30" s="716"/>
      <c r="FM30" s="716"/>
      <c r="FN30" s="716"/>
      <c r="FO30" s="716"/>
      <c r="FP30" s="716"/>
      <c r="FQ30" s="716"/>
      <c r="FR30" s="716"/>
      <c r="FS30" s="716"/>
      <c r="FT30" s="716"/>
      <c r="FU30" s="716"/>
      <c r="FV30" s="716"/>
      <c r="FW30" s="716"/>
      <c r="FX30" s="716"/>
      <c r="FY30" s="716"/>
      <c r="FZ30" s="716"/>
      <c r="GA30" s="716"/>
    </row>
    <row r="31" spans="1:183" ht="23.1" customHeight="1" thickTop="1" thickBot="1" x14ac:dyDescent="0.35">
      <c r="B31" s="750" t="s">
        <v>565</v>
      </c>
      <c r="C31" s="1413" t="s">
        <v>535</v>
      </c>
      <c r="D31" s="1414"/>
      <c r="E31" s="802"/>
      <c r="F31" s="783" t="str">
        <f>IF(E31="","",I31/E31)</f>
        <v/>
      </c>
      <c r="G31" s="1430"/>
      <c r="H31" s="1431"/>
      <c r="I31" s="799">
        <v>0</v>
      </c>
      <c r="K31" s="787" t="str">
        <f>IF(C29=R2,"",I31)</f>
        <v/>
      </c>
      <c r="L31" s="777" t="str">
        <f>IF(D30="","",D30*E31)</f>
        <v/>
      </c>
      <c r="M31" s="786" t="str">
        <f>IF(E31="","",E31*F31)</f>
        <v/>
      </c>
      <c r="N31" s="27" t="str">
        <f>IF(E31="","",IF(D30="","",M31-L31))</f>
        <v/>
      </c>
      <c r="Q31" s="820" t="str">
        <f>IF(D67&lt;&gt;"","",SUM(Q25:Q29))</f>
        <v/>
      </c>
      <c r="R31" s="821" t="str">
        <f>IF(D67&lt;&gt;"","",SUM(Q25:Q28))</f>
        <v/>
      </c>
      <c r="S31" s="744"/>
      <c r="T31" s="813"/>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6"/>
      <c r="BF31" s="716"/>
      <c r="BG31" s="716"/>
      <c r="BH31" s="716"/>
      <c r="BI31" s="716"/>
      <c r="BJ31" s="716"/>
      <c r="BK31" s="716"/>
      <c r="BL31" s="716"/>
      <c r="BM31" s="716"/>
      <c r="BN31" s="716"/>
      <c r="BO31" s="716"/>
      <c r="BP31" s="716"/>
      <c r="BQ31" s="716"/>
      <c r="BR31" s="716"/>
      <c r="BS31" s="716"/>
      <c r="BT31" s="716"/>
      <c r="BU31" s="716"/>
      <c r="BV31" s="716"/>
      <c r="BW31" s="716"/>
      <c r="BX31" s="716"/>
      <c r="BY31" s="716"/>
      <c r="BZ31" s="716"/>
      <c r="CA31" s="716"/>
      <c r="CB31" s="716"/>
      <c r="CC31" s="716"/>
      <c r="CD31" s="716"/>
      <c r="CE31" s="716"/>
      <c r="CF31" s="716"/>
      <c r="CG31" s="716"/>
      <c r="CH31" s="716"/>
      <c r="CI31" s="716"/>
      <c r="CJ31" s="716"/>
      <c r="CK31" s="716"/>
      <c r="CL31" s="716"/>
      <c r="CM31" s="716"/>
      <c r="CN31" s="716"/>
      <c r="CO31" s="716"/>
      <c r="CP31" s="716"/>
      <c r="CQ31" s="716"/>
      <c r="CR31" s="716"/>
      <c r="CS31" s="716"/>
      <c r="CT31" s="716"/>
      <c r="CU31" s="716"/>
      <c r="CV31" s="716"/>
      <c r="CW31" s="716"/>
      <c r="CX31" s="716"/>
      <c r="CY31" s="716"/>
      <c r="CZ31" s="716"/>
      <c r="DA31" s="716"/>
      <c r="DB31" s="716"/>
      <c r="DC31" s="716"/>
      <c r="DD31" s="716"/>
      <c r="DE31" s="716"/>
      <c r="DF31" s="716"/>
      <c r="DG31" s="716"/>
      <c r="DH31" s="716"/>
      <c r="DI31" s="716"/>
      <c r="DJ31" s="716"/>
      <c r="DK31" s="716"/>
      <c r="DL31" s="716"/>
      <c r="DM31" s="716"/>
      <c r="DN31" s="716"/>
      <c r="DO31" s="716"/>
      <c r="DP31" s="716"/>
      <c r="DQ31" s="716"/>
      <c r="DR31" s="716"/>
      <c r="DS31" s="716"/>
      <c r="DT31" s="716"/>
      <c r="DU31" s="716"/>
      <c r="DV31" s="716"/>
      <c r="DW31" s="716"/>
      <c r="DX31" s="716"/>
      <c r="DY31" s="716"/>
      <c r="DZ31" s="716"/>
      <c r="EA31" s="716"/>
      <c r="EB31" s="716"/>
      <c r="EC31" s="716"/>
      <c r="ED31" s="716"/>
      <c r="EE31" s="716"/>
      <c r="EF31" s="716"/>
      <c r="EG31" s="716"/>
      <c r="EH31" s="716"/>
      <c r="EI31" s="716"/>
      <c r="EJ31" s="716"/>
      <c r="EK31" s="716"/>
      <c r="EL31" s="716"/>
      <c r="EM31" s="716"/>
      <c r="EN31" s="716"/>
      <c r="EO31" s="716"/>
      <c r="EP31" s="716"/>
      <c r="EQ31" s="716"/>
      <c r="ER31" s="716"/>
      <c r="ES31" s="716"/>
      <c r="ET31" s="716"/>
      <c r="EU31" s="716"/>
      <c r="EV31" s="716"/>
      <c r="EW31" s="716"/>
      <c r="EX31" s="716"/>
      <c r="EY31" s="716"/>
      <c r="EZ31" s="716"/>
      <c r="FA31" s="716"/>
      <c r="FB31" s="716"/>
      <c r="FC31" s="716"/>
      <c r="FD31" s="716"/>
      <c r="FE31" s="716"/>
      <c r="FF31" s="716"/>
      <c r="FG31" s="716"/>
      <c r="FH31" s="716"/>
      <c r="FI31" s="716"/>
      <c r="FJ31" s="716"/>
      <c r="FK31" s="716"/>
      <c r="FL31" s="716"/>
      <c r="FM31" s="716"/>
      <c r="FN31" s="716"/>
      <c r="FO31" s="716"/>
      <c r="FP31" s="716"/>
      <c r="FQ31" s="716"/>
      <c r="FR31" s="716"/>
      <c r="FS31" s="716"/>
      <c r="FT31" s="716"/>
      <c r="FU31" s="716"/>
      <c r="FV31" s="716"/>
      <c r="FW31" s="716"/>
      <c r="FX31" s="716"/>
      <c r="FY31" s="716"/>
      <c r="FZ31" s="716"/>
      <c r="GA31" s="716"/>
    </row>
    <row r="32" spans="1:183" ht="22.05" customHeight="1" thickTop="1" x14ac:dyDescent="0.3">
      <c r="B32" s="878" t="s">
        <v>649</v>
      </c>
      <c r="C32" s="805"/>
      <c r="D32" s="806"/>
      <c r="E32" s="784"/>
      <c r="F32" s="1409" t="str">
        <f>IF(I31=0,"",IF(N31&gt;0,"Supera el Decreto de dietas en:",""))</f>
        <v/>
      </c>
      <c r="G32" s="1409"/>
      <c r="H32" s="1409"/>
      <c r="I32" s="785" t="str">
        <f>IF(I31=0,"",IF(N31&gt;0,N31,""))</f>
        <v/>
      </c>
      <c r="K32" s="792" t="str">
        <f>IF(AND(I31&lt;&gt;0,C31=R6),"aloja","")</f>
        <v/>
      </c>
      <c r="S32" s="743"/>
      <c r="T32" s="744"/>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c r="BZ32" s="716"/>
      <c r="CA32" s="716"/>
      <c r="CB32" s="716"/>
      <c r="CC32" s="716"/>
      <c r="CD32" s="716"/>
      <c r="CE32" s="716"/>
      <c r="CF32" s="716"/>
      <c r="CG32" s="716"/>
      <c r="CH32" s="716"/>
      <c r="CI32" s="716"/>
      <c r="CJ32" s="716"/>
      <c r="CK32" s="716"/>
      <c r="CL32" s="716"/>
      <c r="CM32" s="716"/>
      <c r="CN32" s="716"/>
      <c r="CO32" s="716"/>
      <c r="CP32" s="716"/>
      <c r="CQ32" s="716"/>
      <c r="CR32" s="716"/>
      <c r="CS32" s="716"/>
      <c r="CT32" s="716"/>
      <c r="CU32" s="716"/>
      <c r="CV32" s="716"/>
      <c r="CW32" s="716"/>
      <c r="CX32" s="716"/>
      <c r="CY32" s="716"/>
      <c r="CZ32" s="716"/>
      <c r="DA32" s="716"/>
      <c r="DB32" s="716"/>
      <c r="DC32" s="716"/>
      <c r="DD32" s="716"/>
      <c r="DE32" s="716"/>
      <c r="DF32" s="716"/>
      <c r="DG32" s="716"/>
      <c r="DH32" s="716"/>
      <c r="DI32" s="716"/>
      <c r="DJ32" s="716"/>
      <c r="DK32" s="716"/>
      <c r="DL32" s="716"/>
      <c r="DM32" s="716"/>
      <c r="DN32" s="716"/>
      <c r="DO32" s="716"/>
      <c r="DP32" s="716"/>
      <c r="DQ32" s="716"/>
      <c r="DR32" s="716"/>
      <c r="DS32" s="716"/>
      <c r="DT32" s="716"/>
      <c r="DU32" s="716"/>
      <c r="DV32" s="716"/>
      <c r="DW32" s="716"/>
      <c r="DX32" s="716"/>
      <c r="DY32" s="716"/>
      <c r="DZ32" s="716"/>
      <c r="EA32" s="716"/>
      <c r="EB32" s="716"/>
      <c r="EC32" s="716"/>
      <c r="ED32" s="716"/>
      <c r="EE32" s="716"/>
      <c r="EF32" s="716"/>
      <c r="EG32" s="716"/>
      <c r="EH32" s="716"/>
      <c r="EI32" s="716"/>
      <c r="EJ32" s="716"/>
      <c r="EK32" s="716"/>
      <c r="EL32" s="716"/>
      <c r="EM32" s="716"/>
      <c r="EN32" s="716"/>
      <c r="EO32" s="716"/>
      <c r="EP32" s="716"/>
      <c r="EQ32" s="716"/>
      <c r="ER32" s="716"/>
      <c r="ES32" s="716"/>
      <c r="ET32" s="716"/>
      <c r="EU32" s="716"/>
      <c r="EV32" s="716"/>
      <c r="EW32" s="716"/>
      <c r="EX32" s="716"/>
      <c r="EY32" s="716"/>
      <c r="EZ32" s="716"/>
      <c r="FA32" s="716"/>
      <c r="FB32" s="716"/>
      <c r="FC32" s="716"/>
      <c r="FD32" s="716"/>
      <c r="FE32" s="716"/>
      <c r="FF32" s="716"/>
      <c r="FG32" s="716"/>
      <c r="FH32" s="716"/>
      <c r="FI32" s="716"/>
      <c r="FJ32" s="716"/>
      <c r="FK32" s="716"/>
      <c r="FL32" s="716"/>
      <c r="FM32" s="716"/>
      <c r="FN32" s="716"/>
      <c r="FO32" s="716"/>
      <c r="FP32" s="716"/>
      <c r="FQ32" s="716"/>
      <c r="FR32" s="716"/>
      <c r="FS32" s="716"/>
      <c r="FT32" s="716"/>
      <c r="FU32" s="716"/>
      <c r="FV32" s="716"/>
      <c r="FW32" s="716"/>
      <c r="FX32" s="716"/>
      <c r="FY32" s="716"/>
      <c r="FZ32" s="716"/>
      <c r="GA32" s="716"/>
    </row>
    <row r="33" spans="2:183" ht="22.05" customHeight="1" thickBot="1" x14ac:dyDescent="0.35">
      <c r="B33" s="721"/>
      <c r="C33" s="719"/>
      <c r="D33" s="719"/>
      <c r="E33" s="751"/>
      <c r="F33" s="780"/>
      <c r="G33" s="780"/>
      <c r="H33" s="780"/>
      <c r="I33" s="752"/>
      <c r="S33" s="743"/>
      <c r="T33" s="744"/>
      <c r="AG33" s="716"/>
      <c r="AH33" s="716"/>
      <c r="AI33" s="716"/>
      <c r="AJ33" s="716"/>
      <c r="AK33" s="716"/>
      <c r="AL33" s="716"/>
      <c r="AM33" s="716"/>
      <c r="AN33" s="716"/>
      <c r="AO33" s="716"/>
      <c r="AP33" s="716"/>
      <c r="AQ33" s="716"/>
      <c r="AR33" s="716"/>
      <c r="AS33" s="716"/>
      <c r="AT33" s="716"/>
      <c r="AU33" s="716"/>
      <c r="AV33" s="716"/>
      <c r="AW33" s="716"/>
      <c r="AX33" s="716"/>
      <c r="AY33" s="716"/>
      <c r="AZ33" s="716"/>
      <c r="BA33" s="716"/>
      <c r="BB33" s="716"/>
      <c r="BC33" s="716"/>
      <c r="BD33" s="716"/>
      <c r="BE33" s="716"/>
      <c r="BF33" s="716"/>
      <c r="BG33" s="716"/>
      <c r="BH33" s="716"/>
      <c r="BI33" s="716"/>
      <c r="BJ33" s="716"/>
      <c r="BK33" s="716"/>
      <c r="BL33" s="716"/>
      <c r="BM33" s="716"/>
      <c r="BN33" s="716"/>
      <c r="BO33" s="716"/>
      <c r="BP33" s="716"/>
      <c r="BQ33" s="716"/>
      <c r="BR33" s="716"/>
      <c r="BS33" s="716"/>
      <c r="BT33" s="716"/>
      <c r="BU33" s="716"/>
      <c r="BV33" s="716"/>
      <c r="BW33" s="716"/>
      <c r="BX33" s="716"/>
      <c r="BY33" s="716"/>
      <c r="BZ33" s="716"/>
      <c r="CA33" s="716"/>
      <c r="CB33" s="716"/>
      <c r="CC33" s="716"/>
      <c r="CD33" s="716"/>
      <c r="CE33" s="716"/>
      <c r="CF33" s="716"/>
      <c r="CG33" s="716"/>
      <c r="CH33" s="716"/>
      <c r="CI33" s="716"/>
      <c r="CJ33" s="716"/>
      <c r="CK33" s="716"/>
      <c r="CL33" s="716"/>
      <c r="CM33" s="716"/>
      <c r="CN33" s="716"/>
      <c r="CO33" s="716"/>
      <c r="CP33" s="716"/>
      <c r="CQ33" s="716"/>
      <c r="CR33" s="716"/>
      <c r="CS33" s="716"/>
      <c r="CT33" s="716"/>
      <c r="CU33" s="716"/>
      <c r="CV33" s="716"/>
      <c r="CW33" s="716"/>
      <c r="CX33" s="716"/>
      <c r="CY33" s="716"/>
      <c r="CZ33" s="716"/>
      <c r="DA33" s="716"/>
      <c r="DB33" s="716"/>
      <c r="DC33" s="716"/>
      <c r="DD33" s="716"/>
      <c r="DE33" s="716"/>
      <c r="DF33" s="716"/>
      <c r="DG33" s="716"/>
      <c r="DH33" s="716"/>
      <c r="DI33" s="716"/>
      <c r="DJ33" s="716"/>
      <c r="DK33" s="716"/>
      <c r="DL33" s="716"/>
      <c r="DM33" s="716"/>
      <c r="DN33" s="716"/>
      <c r="DO33" s="716"/>
      <c r="DP33" s="716"/>
      <c r="DQ33" s="716"/>
      <c r="DR33" s="716"/>
      <c r="DS33" s="716"/>
      <c r="DT33" s="716"/>
      <c r="DU33" s="716"/>
      <c r="DV33" s="716"/>
      <c r="DW33" s="716"/>
      <c r="DX33" s="716"/>
      <c r="DY33" s="716"/>
      <c r="DZ33" s="716"/>
      <c r="EA33" s="716"/>
      <c r="EB33" s="716"/>
      <c r="EC33" s="716"/>
      <c r="ED33" s="716"/>
      <c r="EE33" s="716"/>
      <c r="EF33" s="716"/>
      <c r="EG33" s="716"/>
      <c r="EH33" s="716"/>
      <c r="EI33" s="716"/>
      <c r="EJ33" s="716"/>
      <c r="EK33" s="716"/>
      <c r="EL33" s="716"/>
      <c r="EM33" s="716"/>
      <c r="EN33" s="716"/>
      <c r="EO33" s="716"/>
      <c r="EP33" s="716"/>
      <c r="EQ33" s="716"/>
      <c r="ER33" s="716"/>
      <c r="ES33" s="716"/>
      <c r="ET33" s="716"/>
      <c r="EU33" s="716"/>
      <c r="EV33" s="716"/>
      <c r="EW33" s="716"/>
      <c r="EX33" s="716"/>
      <c r="EY33" s="716"/>
      <c r="EZ33" s="716"/>
      <c r="FA33" s="716"/>
      <c r="FB33" s="716"/>
      <c r="FC33" s="716"/>
      <c r="FD33" s="716"/>
      <c r="FE33" s="716"/>
      <c r="FF33" s="716"/>
      <c r="FG33" s="716"/>
      <c r="FH33" s="716"/>
      <c r="FI33" s="716"/>
      <c r="FJ33" s="716"/>
      <c r="FK33" s="716"/>
      <c r="FL33" s="716"/>
      <c r="FM33" s="716"/>
      <c r="FN33" s="716"/>
      <c r="FO33" s="716"/>
      <c r="FP33" s="716"/>
      <c r="FQ33" s="716"/>
      <c r="FR33" s="716"/>
      <c r="FS33" s="716"/>
      <c r="FT33" s="716"/>
      <c r="FU33" s="716"/>
      <c r="FV33" s="716"/>
      <c r="FW33" s="716"/>
      <c r="FX33" s="716"/>
      <c r="FY33" s="716"/>
      <c r="FZ33" s="716"/>
      <c r="GA33" s="716"/>
    </row>
    <row r="34" spans="2:183" ht="23.1" customHeight="1" thickTop="1" thickBot="1" x14ac:dyDescent="0.35">
      <c r="B34" s="750" t="s">
        <v>568</v>
      </c>
      <c r="C34" s="1441" t="s">
        <v>537</v>
      </c>
      <c r="D34" s="1442"/>
      <c r="E34" s="1449" t="s">
        <v>642</v>
      </c>
      <c r="F34" s="1450"/>
      <c r="G34" s="1451" t="str">
        <f>IF(C34="No hay gastos","",IF(C34=C15,"","Indicar el nombre del perceptor en la celda inferior"))</f>
        <v>Indicar el nombre del perceptor en la celda inferior</v>
      </c>
      <c r="H34" s="1452"/>
      <c r="I34" s="753" t="s">
        <v>561</v>
      </c>
      <c r="S34" s="743"/>
      <c r="T34" s="744"/>
      <c r="AB34" s="834" t="s">
        <v>651</v>
      </c>
      <c r="AG34" s="716"/>
      <c r="AH34" s="716"/>
      <c r="AI34" s="716"/>
      <c r="AJ34" s="716"/>
      <c r="AK34" s="716"/>
      <c r="AL34" s="716"/>
      <c r="AM34" s="716"/>
      <c r="AN34" s="716"/>
      <c r="AO34" s="716"/>
      <c r="AP34" s="716"/>
      <c r="AQ34" s="716"/>
      <c r="AR34" s="716"/>
      <c r="AS34" s="716"/>
      <c r="AT34" s="716"/>
      <c r="AU34" s="716"/>
      <c r="AV34" s="716"/>
      <c r="AW34" s="716"/>
      <c r="AX34" s="716"/>
      <c r="AY34" s="716"/>
      <c r="AZ34" s="716"/>
      <c r="BA34" s="716"/>
      <c r="BB34" s="716"/>
      <c r="BC34" s="716"/>
      <c r="BD34" s="716"/>
      <c r="BE34" s="716"/>
      <c r="BF34" s="716"/>
      <c r="BG34" s="716"/>
      <c r="BH34" s="716"/>
      <c r="BI34" s="716"/>
      <c r="BJ34" s="716"/>
      <c r="BK34" s="716"/>
      <c r="BL34" s="716"/>
      <c r="BM34" s="716"/>
      <c r="BN34" s="716"/>
      <c r="BO34" s="716"/>
      <c r="BP34" s="716"/>
      <c r="BQ34" s="716"/>
      <c r="BR34" s="716"/>
      <c r="BS34" s="716"/>
      <c r="BT34" s="716"/>
      <c r="BU34" s="716"/>
      <c r="BV34" s="716"/>
      <c r="BW34" s="716"/>
      <c r="BX34" s="716"/>
      <c r="BY34" s="716"/>
      <c r="BZ34" s="716"/>
      <c r="CA34" s="716"/>
      <c r="CB34" s="716"/>
      <c r="CC34" s="716"/>
      <c r="CD34" s="716"/>
      <c r="CE34" s="716"/>
      <c r="CF34" s="716"/>
      <c r="CG34" s="716"/>
      <c r="CH34" s="716"/>
      <c r="CI34" s="716"/>
      <c r="CJ34" s="716"/>
      <c r="CK34" s="716"/>
      <c r="CL34" s="716"/>
      <c r="CM34" s="716"/>
      <c r="CN34" s="716"/>
      <c r="CO34" s="716"/>
      <c r="CP34" s="716"/>
      <c r="CQ34" s="716"/>
      <c r="CR34" s="716"/>
      <c r="CS34" s="716"/>
      <c r="CT34" s="716"/>
      <c r="CU34" s="716"/>
      <c r="CV34" s="716"/>
      <c r="CW34" s="716"/>
      <c r="CX34" s="716"/>
      <c r="CY34" s="716"/>
      <c r="CZ34" s="716"/>
      <c r="DA34" s="716"/>
      <c r="DB34" s="716"/>
      <c r="DC34" s="716"/>
      <c r="DD34" s="716"/>
      <c r="DE34" s="716"/>
      <c r="DF34" s="716"/>
      <c r="DG34" s="716"/>
      <c r="DH34" s="716"/>
      <c r="DI34" s="716"/>
      <c r="DJ34" s="716"/>
      <c r="DK34" s="716"/>
      <c r="DL34" s="716"/>
      <c r="DM34" s="716"/>
      <c r="DN34" s="716"/>
      <c r="DO34" s="716"/>
      <c r="DP34" s="716"/>
      <c r="DQ34" s="716"/>
      <c r="DR34" s="716"/>
      <c r="DS34" s="716"/>
      <c r="DT34" s="716"/>
      <c r="DU34" s="716"/>
      <c r="DV34" s="716"/>
      <c r="DW34" s="716"/>
      <c r="DX34" s="716"/>
      <c r="DY34" s="716"/>
      <c r="DZ34" s="716"/>
      <c r="EA34" s="716"/>
      <c r="EB34" s="716"/>
      <c r="EC34" s="716"/>
      <c r="ED34" s="716"/>
      <c r="EE34" s="716"/>
      <c r="EF34" s="716"/>
      <c r="EG34" s="716"/>
      <c r="EH34" s="716"/>
      <c r="EI34" s="716"/>
      <c r="EJ34" s="716"/>
      <c r="EK34" s="716"/>
      <c r="EL34" s="716"/>
      <c r="EM34" s="716"/>
      <c r="EN34" s="716"/>
      <c r="EO34" s="716"/>
      <c r="EP34" s="716"/>
      <c r="EQ34" s="716"/>
      <c r="ER34" s="716"/>
      <c r="ES34" s="716"/>
      <c r="ET34" s="716"/>
      <c r="EU34" s="716"/>
      <c r="EV34" s="716"/>
      <c r="EW34" s="716"/>
      <c r="EX34" s="716"/>
      <c r="EY34" s="716"/>
      <c r="EZ34" s="716"/>
      <c r="FA34" s="716"/>
      <c r="FB34" s="716"/>
      <c r="FC34" s="716"/>
      <c r="FD34" s="716"/>
      <c r="FE34" s="716"/>
      <c r="FF34" s="716"/>
      <c r="FG34" s="716"/>
      <c r="FH34" s="716"/>
      <c r="FI34" s="716"/>
      <c r="FJ34" s="716"/>
      <c r="FK34" s="716"/>
      <c r="FL34" s="716"/>
      <c r="FM34" s="716"/>
      <c r="FN34" s="716"/>
      <c r="FO34" s="716"/>
      <c r="FP34" s="716"/>
      <c r="FQ34" s="716"/>
      <c r="FR34" s="716"/>
      <c r="FS34" s="716"/>
      <c r="FT34" s="716"/>
      <c r="FU34" s="716"/>
      <c r="FV34" s="716"/>
      <c r="FW34" s="716"/>
      <c r="FX34" s="716"/>
      <c r="FY34" s="716"/>
      <c r="FZ34" s="716"/>
      <c r="GA34" s="716"/>
    </row>
    <row r="35" spans="2:183" ht="19.95" customHeight="1" thickTop="1" x14ac:dyDescent="0.3">
      <c r="C35" s="1435" t="s">
        <v>602</v>
      </c>
      <c r="D35" s="1436"/>
      <c r="E35" s="872" t="s">
        <v>566</v>
      </c>
      <c r="F35" s="871" t="s">
        <v>567</v>
      </c>
      <c r="G35" s="1453"/>
      <c r="H35" s="1454"/>
      <c r="I35" s="801">
        <v>0</v>
      </c>
      <c r="L35" s="815" t="str">
        <f>IF(C29=R2,"",I35)</f>
        <v/>
      </c>
      <c r="M35" s="867">
        <f>IF(I35&gt;I36,I36,I35)</f>
        <v>0</v>
      </c>
      <c r="N35" s="869" t="s">
        <v>152</v>
      </c>
      <c r="O35" s="742">
        <f>I36</f>
        <v>0</v>
      </c>
      <c r="S35" s="754"/>
      <c r="T35" s="754"/>
      <c r="AG35" s="716"/>
      <c r="AH35" s="716"/>
      <c r="AI35" s="716"/>
      <c r="AJ35" s="716"/>
      <c r="AK35" s="716"/>
      <c r="AL35" s="716"/>
      <c r="AM35" s="716"/>
      <c r="AN35" s="716"/>
      <c r="AO35" s="716"/>
      <c r="AP35" s="716"/>
      <c r="AQ35" s="716"/>
      <c r="AR35" s="716"/>
      <c r="AS35" s="716"/>
      <c r="AT35" s="716"/>
      <c r="AU35" s="716"/>
      <c r="AV35" s="716"/>
      <c r="AW35" s="716"/>
      <c r="AX35" s="716"/>
      <c r="AY35" s="716"/>
      <c r="AZ35" s="716"/>
      <c r="BA35" s="716"/>
      <c r="BB35" s="716"/>
      <c r="BC35" s="716"/>
      <c r="BD35" s="716"/>
      <c r="BE35" s="716"/>
      <c r="BF35" s="716"/>
      <c r="BG35" s="716"/>
      <c r="BH35" s="716"/>
      <c r="BI35" s="716"/>
      <c r="BJ35" s="716"/>
      <c r="BK35" s="716"/>
      <c r="BL35" s="716"/>
      <c r="BM35" s="716"/>
      <c r="BN35" s="716"/>
      <c r="BO35" s="716"/>
      <c r="BP35" s="716"/>
      <c r="BQ35" s="716"/>
      <c r="BR35" s="716"/>
      <c r="BS35" s="716"/>
      <c r="BT35" s="716"/>
      <c r="BU35" s="716"/>
      <c r="BV35" s="716"/>
      <c r="BW35" s="716"/>
      <c r="BX35" s="716"/>
      <c r="BY35" s="716"/>
      <c r="BZ35" s="716"/>
      <c r="CA35" s="716"/>
      <c r="CB35" s="716"/>
      <c r="CC35" s="716"/>
      <c r="CD35" s="716"/>
      <c r="CE35" s="716"/>
      <c r="CF35" s="716"/>
      <c r="CG35" s="716"/>
      <c r="CH35" s="716"/>
      <c r="CI35" s="716"/>
      <c r="CJ35" s="716"/>
      <c r="CK35" s="716"/>
      <c r="CL35" s="716"/>
      <c r="CM35" s="716"/>
      <c r="CN35" s="716"/>
      <c r="CO35" s="716"/>
      <c r="CP35" s="716"/>
      <c r="CQ35" s="716"/>
      <c r="CR35" s="716"/>
      <c r="CS35" s="716"/>
      <c r="CT35" s="716"/>
      <c r="CU35" s="716"/>
      <c r="CV35" s="716"/>
      <c r="CW35" s="716"/>
      <c r="CX35" s="716"/>
      <c r="CY35" s="716"/>
      <c r="CZ35" s="716"/>
      <c r="DA35" s="716"/>
      <c r="DB35" s="716"/>
      <c r="DC35" s="716"/>
      <c r="DD35" s="716"/>
      <c r="DE35" s="716"/>
      <c r="DF35" s="716"/>
      <c r="DG35" s="716"/>
      <c r="DH35" s="716"/>
      <c r="DI35" s="716"/>
      <c r="DJ35" s="716"/>
      <c r="DK35" s="716"/>
      <c r="DL35" s="716"/>
      <c r="DM35" s="716"/>
      <c r="DN35" s="716"/>
      <c r="DO35" s="716"/>
      <c r="DP35" s="716"/>
      <c r="DQ35" s="716"/>
      <c r="DR35" s="716"/>
      <c r="DS35" s="716"/>
      <c r="DT35" s="716"/>
      <c r="DU35" s="716"/>
      <c r="DV35" s="716"/>
      <c r="DW35" s="716"/>
      <c r="DX35" s="716"/>
      <c r="DY35" s="716"/>
      <c r="DZ35" s="716"/>
      <c r="EA35" s="716"/>
      <c r="EB35" s="716"/>
      <c r="EC35" s="716"/>
      <c r="ED35" s="716"/>
      <c r="EE35" s="716"/>
      <c r="EF35" s="716"/>
      <c r="EG35" s="716"/>
      <c r="EH35" s="716"/>
      <c r="EI35" s="716"/>
      <c r="EJ35" s="716"/>
      <c r="EK35" s="716"/>
      <c r="EL35" s="716"/>
      <c r="EM35" s="716"/>
      <c r="EN35" s="716"/>
      <c r="EO35" s="716"/>
      <c r="EP35" s="716"/>
      <c r="EQ35" s="716"/>
      <c r="ER35" s="716"/>
      <c r="ES35" s="716"/>
      <c r="ET35" s="716"/>
      <c r="EU35" s="716"/>
      <c r="EV35" s="716"/>
      <c r="EW35" s="716"/>
      <c r="EX35" s="716"/>
      <c r="EY35" s="716"/>
      <c r="EZ35" s="716"/>
      <c r="FA35" s="716"/>
      <c r="FB35" s="716"/>
      <c r="FC35" s="716"/>
      <c r="FD35" s="716"/>
      <c r="FE35" s="716"/>
      <c r="FF35" s="716"/>
      <c r="FG35" s="716"/>
      <c r="FH35" s="716"/>
      <c r="FI35" s="716"/>
      <c r="FJ35" s="716"/>
      <c r="FK35" s="716"/>
      <c r="FL35" s="716"/>
      <c r="FM35" s="716"/>
      <c r="FN35" s="716"/>
      <c r="FO35" s="716"/>
      <c r="FP35" s="716"/>
      <c r="FQ35" s="716"/>
      <c r="FR35" s="716"/>
      <c r="FS35" s="716"/>
      <c r="FT35" s="716"/>
      <c r="FU35" s="716"/>
      <c r="FV35" s="716"/>
      <c r="FW35" s="716"/>
      <c r="FX35" s="716"/>
      <c r="FY35" s="716"/>
      <c r="FZ35" s="716"/>
      <c r="GA35" s="716"/>
    </row>
    <row r="36" spans="2:183" ht="19.95" customHeight="1" x14ac:dyDescent="0.3">
      <c r="B36" s="750"/>
      <c r="C36" s="1437" t="s">
        <v>604</v>
      </c>
      <c r="D36" s="1438"/>
      <c r="E36" s="779"/>
      <c r="F36" s="781" t="str">
        <f>IF(C29=R3,U3,IF(C29=R4,U4,""))</f>
        <v/>
      </c>
      <c r="G36" s="1467"/>
      <c r="H36" s="1468"/>
      <c r="I36" s="1446">
        <f>IF(AND(I35&lt;&gt;0,E34=L46),"Borre el importe de la factura",IF(C34=R6,0,IF(C34=R8,0,L39)))</f>
        <v>0</v>
      </c>
      <c r="K36" s="876" t="str">
        <f>IF(E36="","",E36)</f>
        <v/>
      </c>
      <c r="L36" s="815">
        <f>IF(F36="",0,E36*F36)</f>
        <v>0</v>
      </c>
      <c r="M36" s="868"/>
      <c r="N36" s="870" t="s">
        <v>562</v>
      </c>
      <c r="O36" s="742">
        <f>I35</f>
        <v>0</v>
      </c>
      <c r="S36" s="818">
        <f>SUM(S25:S35)</f>
        <v>0</v>
      </c>
      <c r="T36" s="819">
        <f>SUM(T25:T35)</f>
        <v>0</v>
      </c>
      <c r="AG36" s="716"/>
      <c r="AH36" s="716"/>
      <c r="AI36" s="716"/>
      <c r="AJ36" s="716"/>
      <c r="AK36" s="716"/>
      <c r="AL36" s="716"/>
      <c r="AM36" s="1390" t="s">
        <v>655</v>
      </c>
      <c r="AN36" s="1391"/>
      <c r="AO36" s="1391"/>
      <c r="AP36" s="1391"/>
      <c r="AQ36" s="1391"/>
      <c r="AR36" s="1391"/>
      <c r="AS36" s="1392"/>
      <c r="AT36" s="716"/>
      <c r="AU36" s="716"/>
      <c r="AV36" s="716"/>
      <c r="AW36" s="716"/>
      <c r="AX36" s="716"/>
      <c r="AY36" s="716"/>
      <c r="AZ36" s="716"/>
      <c r="BA36" s="716"/>
      <c r="BB36" s="716"/>
      <c r="BC36" s="716"/>
      <c r="BD36" s="716"/>
      <c r="BE36" s="716"/>
      <c r="BF36" s="716"/>
      <c r="BG36" s="716"/>
      <c r="BH36" s="716"/>
      <c r="BI36" s="716"/>
      <c r="BJ36" s="716"/>
      <c r="BK36" s="716"/>
      <c r="BL36" s="716"/>
      <c r="BM36" s="716"/>
      <c r="BN36" s="716"/>
      <c r="BO36" s="716"/>
      <c r="BP36" s="716"/>
      <c r="BQ36" s="716"/>
      <c r="BR36" s="716"/>
      <c r="BS36" s="716"/>
      <c r="BT36" s="716"/>
      <c r="BU36" s="716"/>
      <c r="BV36" s="716"/>
      <c r="BW36" s="716"/>
      <c r="BX36" s="716"/>
      <c r="BY36" s="716"/>
      <c r="BZ36" s="716"/>
      <c r="CA36" s="716"/>
      <c r="CB36" s="716"/>
      <c r="CC36" s="716"/>
      <c r="CD36" s="716"/>
      <c r="CE36" s="716"/>
      <c r="CF36" s="716"/>
      <c r="CG36" s="716"/>
      <c r="CH36" s="716"/>
      <c r="CI36" s="716"/>
      <c r="CJ36" s="716"/>
      <c r="CK36" s="716"/>
      <c r="CL36" s="716"/>
      <c r="CM36" s="716"/>
      <c r="CN36" s="716"/>
      <c r="CO36" s="716"/>
      <c r="CP36" s="716"/>
      <c r="CQ36" s="716"/>
      <c r="CR36" s="716"/>
      <c r="CS36" s="716"/>
      <c r="CT36" s="716"/>
      <c r="CU36" s="716"/>
      <c r="CV36" s="716"/>
      <c r="CW36" s="716"/>
      <c r="CX36" s="716"/>
      <c r="CY36" s="716"/>
      <c r="CZ36" s="716"/>
      <c r="DA36" s="716"/>
      <c r="DB36" s="716"/>
      <c r="DC36" s="716"/>
      <c r="DD36" s="716"/>
      <c r="DE36" s="716"/>
      <c r="DF36" s="716"/>
      <c r="DG36" s="716"/>
      <c r="DH36" s="716"/>
      <c r="DI36" s="716"/>
      <c r="DJ36" s="716"/>
      <c r="DK36" s="716"/>
      <c r="DL36" s="716"/>
      <c r="DM36" s="716"/>
      <c r="DN36" s="716"/>
      <c r="DO36" s="716"/>
      <c r="DP36" s="716"/>
      <c r="DQ36" s="716"/>
      <c r="DR36" s="716"/>
      <c r="DS36" s="716"/>
      <c r="DT36" s="716"/>
      <c r="DU36" s="716"/>
      <c r="DV36" s="716"/>
      <c r="DW36" s="716"/>
      <c r="DX36" s="716"/>
      <c r="DY36" s="716"/>
      <c r="DZ36" s="716"/>
      <c r="EA36" s="716"/>
      <c r="EB36" s="716"/>
      <c r="EC36" s="716"/>
      <c r="ED36" s="716"/>
      <c r="EE36" s="716"/>
      <c r="EF36" s="716"/>
      <c r="EG36" s="716"/>
      <c r="EH36" s="716"/>
      <c r="EI36" s="716"/>
      <c r="EJ36" s="716"/>
      <c r="EK36" s="716"/>
      <c r="EL36" s="716"/>
      <c r="EM36" s="716"/>
      <c r="EN36" s="716"/>
      <c r="EO36" s="716"/>
      <c r="EP36" s="716"/>
      <c r="EQ36" s="716"/>
      <c r="ER36" s="716"/>
      <c r="ES36" s="716"/>
      <c r="ET36" s="716"/>
      <c r="EU36" s="716"/>
      <c r="EV36" s="716"/>
      <c r="EW36" s="716"/>
      <c r="EX36" s="716"/>
      <c r="EY36" s="716"/>
      <c r="EZ36" s="716"/>
      <c r="FA36" s="716"/>
      <c r="FB36" s="716"/>
      <c r="FC36" s="716"/>
      <c r="FD36" s="716"/>
      <c r="FE36" s="716"/>
      <c r="FF36" s="716"/>
      <c r="FG36" s="716"/>
      <c r="FH36" s="716"/>
      <c r="FI36" s="716"/>
      <c r="FJ36" s="716"/>
      <c r="FK36" s="716"/>
      <c r="FL36" s="716"/>
      <c r="FM36" s="716"/>
      <c r="FN36" s="716"/>
      <c r="FO36" s="716"/>
      <c r="FP36" s="716"/>
      <c r="FQ36" s="716"/>
      <c r="FR36" s="716"/>
      <c r="FS36" s="716"/>
      <c r="FT36" s="716"/>
      <c r="FU36" s="716"/>
      <c r="FV36" s="716"/>
      <c r="FW36" s="716"/>
      <c r="FX36" s="716"/>
      <c r="FY36" s="716"/>
      <c r="FZ36" s="716"/>
      <c r="GA36" s="716"/>
    </row>
    <row r="37" spans="2:183" ht="19.95" customHeight="1" x14ac:dyDescent="0.3">
      <c r="B37" s="511"/>
      <c r="C37" s="1437" t="s">
        <v>603</v>
      </c>
      <c r="D37" s="1438"/>
      <c r="E37" s="779"/>
      <c r="F37" s="782" t="str">
        <f>IF(C29=R3,V3,IF(C29=R4,V4,""))</f>
        <v/>
      </c>
      <c r="G37" s="1469"/>
      <c r="H37" s="1470"/>
      <c r="I37" s="1447"/>
      <c r="K37" s="876" t="str">
        <f>IF(E37="","",E37)</f>
        <v/>
      </c>
      <c r="L37" s="815">
        <f>IF(F37="",0,E37*F37)</f>
        <v>0</v>
      </c>
      <c r="M37" s="1398" t="s">
        <v>608</v>
      </c>
      <c r="N37" s="870" t="s">
        <v>195</v>
      </c>
      <c r="O37" s="742">
        <f>IF(O35="Borre el importe de la factura","",O36-O35)</f>
        <v>0</v>
      </c>
      <c r="AG37" s="716"/>
      <c r="AH37" s="716"/>
      <c r="AI37" s="716"/>
      <c r="AJ37" s="716"/>
      <c r="AK37" s="716"/>
      <c r="AL37" s="716"/>
      <c r="AM37" s="1393"/>
      <c r="AN37" s="1394"/>
      <c r="AO37" s="1394"/>
      <c r="AP37" s="1394"/>
      <c r="AQ37" s="1394"/>
      <c r="AR37" s="1394"/>
      <c r="AS37" s="1395"/>
      <c r="AT37" s="716"/>
      <c r="AU37" s="716"/>
      <c r="AV37" s="716"/>
      <c r="AW37" s="716"/>
      <c r="AX37" s="716"/>
      <c r="AY37" s="716"/>
      <c r="AZ37" s="716"/>
      <c r="BA37" s="716"/>
      <c r="BB37" s="716"/>
      <c r="BC37" s="716"/>
      <c r="BD37" s="716"/>
      <c r="BE37" s="716"/>
      <c r="BF37" s="716"/>
      <c r="BG37" s="716"/>
      <c r="BH37" s="716"/>
      <c r="BI37" s="716"/>
      <c r="BJ37" s="716"/>
      <c r="BK37" s="716"/>
      <c r="BL37" s="716"/>
      <c r="BM37" s="716"/>
      <c r="BN37" s="716"/>
      <c r="BO37" s="716"/>
      <c r="BP37" s="716"/>
      <c r="BQ37" s="716"/>
      <c r="BR37" s="716"/>
      <c r="BS37" s="716"/>
      <c r="BT37" s="716"/>
      <c r="BU37" s="716"/>
      <c r="BV37" s="716"/>
      <c r="BW37" s="716"/>
      <c r="BX37" s="716"/>
      <c r="BY37" s="716"/>
      <c r="BZ37" s="716"/>
      <c r="CA37" s="716"/>
      <c r="CB37" s="716"/>
      <c r="CC37" s="716"/>
      <c r="CD37" s="716"/>
      <c r="CE37" s="716"/>
      <c r="CF37" s="716"/>
      <c r="CG37" s="716"/>
      <c r="CH37" s="716"/>
      <c r="CI37" s="716"/>
      <c r="CJ37" s="716"/>
      <c r="CK37" s="716"/>
      <c r="CL37" s="716"/>
      <c r="CM37" s="716"/>
      <c r="CN37" s="716"/>
      <c r="CO37" s="716"/>
      <c r="CP37" s="716"/>
      <c r="CQ37" s="716"/>
      <c r="CR37" s="716"/>
      <c r="CS37" s="716"/>
      <c r="CT37" s="716"/>
      <c r="CU37" s="716"/>
      <c r="CV37" s="716"/>
      <c r="CW37" s="716"/>
      <c r="CX37" s="716"/>
      <c r="CY37" s="716"/>
      <c r="CZ37" s="716"/>
      <c r="DA37" s="716"/>
      <c r="DB37" s="716"/>
      <c r="DC37" s="716"/>
      <c r="DD37" s="716"/>
      <c r="DE37" s="716"/>
      <c r="DF37" s="716"/>
      <c r="DG37" s="716"/>
      <c r="DH37" s="716"/>
      <c r="DI37" s="716"/>
      <c r="DJ37" s="716"/>
      <c r="DK37" s="716"/>
      <c r="DL37" s="716"/>
      <c r="DM37" s="716"/>
      <c r="DN37" s="716"/>
      <c r="DO37" s="716"/>
      <c r="DP37" s="716"/>
      <c r="DQ37" s="716"/>
      <c r="DR37" s="716"/>
      <c r="DS37" s="716"/>
      <c r="DT37" s="716"/>
      <c r="DU37" s="716"/>
      <c r="DV37" s="716"/>
      <c r="DW37" s="716"/>
      <c r="DX37" s="716"/>
      <c r="DY37" s="716"/>
      <c r="DZ37" s="716"/>
      <c r="EA37" s="716"/>
      <c r="EB37" s="716"/>
      <c r="EC37" s="716"/>
      <c r="ED37" s="716"/>
      <c r="EE37" s="716"/>
      <c r="EF37" s="716"/>
      <c r="EG37" s="716"/>
      <c r="EH37" s="716"/>
      <c r="EI37" s="716"/>
      <c r="EJ37" s="716"/>
      <c r="EK37" s="716"/>
      <c r="EL37" s="716"/>
      <c r="EM37" s="716"/>
      <c r="EN37" s="716"/>
      <c r="EO37" s="716"/>
      <c r="EP37" s="716"/>
      <c r="EQ37" s="716"/>
      <c r="ER37" s="716"/>
      <c r="ES37" s="716"/>
      <c r="ET37" s="716"/>
      <c r="EU37" s="716"/>
      <c r="EV37" s="716"/>
      <c r="EW37" s="716"/>
      <c r="EX37" s="716"/>
      <c r="EY37" s="716"/>
      <c r="EZ37" s="716"/>
      <c r="FA37" s="716"/>
      <c r="FB37" s="716"/>
      <c r="FC37" s="716"/>
      <c r="FD37" s="716"/>
      <c r="FE37" s="716"/>
      <c r="FF37" s="716"/>
      <c r="FG37" s="716"/>
      <c r="FH37" s="716"/>
      <c r="FI37" s="716"/>
      <c r="FJ37" s="716"/>
      <c r="FK37" s="716"/>
      <c r="FL37" s="716"/>
      <c r="FM37" s="716"/>
      <c r="FN37" s="716"/>
      <c r="FO37" s="716"/>
      <c r="FP37" s="716"/>
      <c r="FQ37" s="716"/>
      <c r="FR37" s="716"/>
      <c r="FS37" s="716"/>
      <c r="FT37" s="716"/>
      <c r="FU37" s="716"/>
      <c r="FV37" s="716"/>
      <c r="FW37" s="716"/>
      <c r="FX37" s="716"/>
      <c r="FY37" s="716"/>
      <c r="FZ37" s="716"/>
      <c r="GA37" s="716"/>
    </row>
    <row r="38" spans="2:183" ht="22.05" customHeight="1" x14ac:dyDescent="0.3">
      <c r="B38" s="511"/>
      <c r="C38" s="1448" t="str">
        <f>IF(AND(K38=0,I35&lt;&gt;0),"Falta indicar el Nº de días",IF(I36="Borre el importe de la factura","",(IF(E34=L44,"Elija entre abonar por Factura o Decreto",IF(I35=0,"",IF(O37&gt;0,"Supera el Decreto de dietas en:",""))))))</f>
        <v/>
      </c>
      <c r="D38" s="1448"/>
      <c r="E38" s="1448"/>
      <c r="F38" s="1448"/>
      <c r="G38" s="1448"/>
      <c r="H38" s="1448"/>
      <c r="I38" s="874" t="str">
        <f>IF(I36="Borre el importe de la factura",0,IF(E34=L44,0,IF(I35=0,"",IF(O37&gt;0,O37,""))))</f>
        <v/>
      </c>
      <c r="K38" s="876">
        <f>SUM(K36:K37)</f>
        <v>0</v>
      </c>
      <c r="L38" s="816" t="s">
        <v>607</v>
      </c>
      <c r="M38" s="1399"/>
      <c r="AG38" s="716"/>
      <c r="AH38" s="716"/>
      <c r="AI38" s="716"/>
      <c r="AJ38" s="716"/>
      <c r="AK38" s="716"/>
      <c r="AL38" s="716"/>
      <c r="AM38" s="1393"/>
      <c r="AN38" s="1394"/>
      <c r="AO38" s="1394"/>
      <c r="AP38" s="1394"/>
      <c r="AQ38" s="1394"/>
      <c r="AR38" s="1394"/>
      <c r="AS38" s="1395"/>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6"/>
      <c r="BT38" s="716"/>
      <c r="BU38" s="716"/>
      <c r="BV38" s="716"/>
      <c r="BW38" s="716"/>
      <c r="BX38" s="716"/>
      <c r="BY38" s="716"/>
      <c r="BZ38" s="716"/>
      <c r="CA38" s="716"/>
      <c r="CB38" s="716"/>
      <c r="CC38" s="716"/>
      <c r="CD38" s="716"/>
      <c r="CE38" s="716"/>
      <c r="CF38" s="716"/>
      <c r="CG38" s="716"/>
      <c r="CH38" s="716"/>
      <c r="CI38" s="716"/>
      <c r="CJ38" s="716"/>
      <c r="CK38" s="716"/>
      <c r="CL38" s="716"/>
      <c r="CM38" s="716"/>
      <c r="CN38" s="716"/>
      <c r="CO38" s="716"/>
      <c r="CP38" s="716"/>
      <c r="CQ38" s="716"/>
      <c r="CR38" s="716"/>
      <c r="CS38" s="716"/>
      <c r="CT38" s="716"/>
      <c r="CU38" s="716"/>
      <c r="CV38" s="716"/>
      <c r="CW38" s="716"/>
      <c r="CX38" s="716"/>
      <c r="CY38" s="716"/>
      <c r="CZ38" s="716"/>
      <c r="DA38" s="716"/>
      <c r="DB38" s="716"/>
      <c r="DC38" s="716"/>
      <c r="DD38" s="716"/>
      <c r="DE38" s="716"/>
      <c r="DF38" s="716"/>
      <c r="DG38" s="716"/>
      <c r="DH38" s="716"/>
      <c r="DI38" s="716"/>
      <c r="DJ38" s="716"/>
      <c r="DK38" s="716"/>
      <c r="DL38" s="716"/>
      <c r="DM38" s="716"/>
      <c r="DN38" s="716"/>
      <c r="DO38" s="716"/>
      <c r="DP38" s="716"/>
      <c r="DQ38" s="716"/>
      <c r="DR38" s="716"/>
      <c r="DS38" s="716"/>
      <c r="DT38" s="716"/>
      <c r="DU38" s="716"/>
      <c r="DV38" s="716"/>
      <c r="DW38" s="716"/>
      <c r="DX38" s="716"/>
      <c r="DY38" s="716"/>
      <c r="DZ38" s="716"/>
      <c r="EA38" s="716"/>
      <c r="EB38" s="716"/>
      <c r="EC38" s="716"/>
      <c r="ED38" s="716"/>
      <c r="EE38" s="716"/>
      <c r="EF38" s="716"/>
      <c r="EG38" s="716"/>
      <c r="EH38" s="716"/>
      <c r="EI38" s="716"/>
      <c r="EJ38" s="716"/>
      <c r="EK38" s="716"/>
      <c r="EL38" s="716"/>
      <c r="EM38" s="716"/>
      <c r="EN38" s="716"/>
      <c r="EO38" s="716"/>
      <c r="EP38" s="716"/>
      <c r="EQ38" s="716"/>
      <c r="ER38" s="716"/>
      <c r="ES38" s="716"/>
      <c r="ET38" s="716"/>
      <c r="EU38" s="716"/>
      <c r="EV38" s="716"/>
      <c r="EW38" s="716"/>
      <c r="EX38" s="716"/>
      <c r="EY38" s="716"/>
      <c r="EZ38" s="716"/>
      <c r="FA38" s="716"/>
      <c r="FB38" s="716"/>
      <c r="FC38" s="716"/>
      <c r="FD38" s="716"/>
      <c r="FE38" s="716"/>
      <c r="FF38" s="716"/>
      <c r="FG38" s="716"/>
      <c r="FH38" s="716"/>
      <c r="FI38" s="716"/>
      <c r="FJ38" s="716"/>
      <c r="FK38" s="716"/>
      <c r="FL38" s="716"/>
      <c r="FM38" s="716"/>
      <c r="FN38" s="716"/>
      <c r="FO38" s="716"/>
      <c r="FP38" s="716"/>
      <c r="FQ38" s="716"/>
      <c r="FR38" s="716"/>
      <c r="FS38" s="716"/>
      <c r="FT38" s="716"/>
      <c r="FU38" s="716"/>
      <c r="FV38" s="716"/>
      <c r="FW38" s="716"/>
      <c r="FX38" s="716"/>
      <c r="FY38" s="716"/>
      <c r="FZ38" s="716"/>
      <c r="GA38" s="716"/>
    </row>
    <row r="39" spans="2:183" ht="23.1" customHeight="1" x14ac:dyDescent="0.3">
      <c r="B39" s="750" t="s">
        <v>569</v>
      </c>
      <c r="C39" s="1439" t="str">
        <f>IF(C15="","",C15)</f>
        <v/>
      </c>
      <c r="D39" s="1439"/>
      <c r="E39" s="824">
        <v>0</v>
      </c>
      <c r="F39" s="890" t="s">
        <v>570</v>
      </c>
      <c r="G39" s="789">
        <v>0</v>
      </c>
      <c r="H39" s="828">
        <f>IF(D67&lt;&gt;"",0,E39*G39)</f>
        <v>0</v>
      </c>
      <c r="I39" s="873">
        <f>IF(D67&lt;&gt;"",0,E39-H39)</f>
        <v>0</v>
      </c>
      <c r="L39" s="817">
        <f>SUM(L36:L37)</f>
        <v>0</v>
      </c>
      <c r="M39" s="1400"/>
      <c r="AG39" s="716"/>
      <c r="AH39" s="716"/>
      <c r="AI39" s="716"/>
      <c r="AJ39" s="716"/>
      <c r="AK39" s="716"/>
      <c r="AL39" s="716"/>
      <c r="AM39" s="1393"/>
      <c r="AN39" s="1394"/>
      <c r="AO39" s="1394"/>
      <c r="AP39" s="1394"/>
      <c r="AQ39" s="1394"/>
      <c r="AR39" s="1394"/>
      <c r="AS39" s="1395"/>
      <c r="AT39" s="716"/>
      <c r="AU39" s="716"/>
      <c r="AV39" s="716"/>
      <c r="AW39" s="716"/>
      <c r="AX39" s="716"/>
      <c r="AY39" s="716"/>
      <c r="AZ39" s="716"/>
      <c r="BA39" s="716"/>
      <c r="BB39" s="716"/>
      <c r="BC39" s="716"/>
      <c r="BD39" s="716"/>
      <c r="BE39" s="716"/>
      <c r="BF39" s="716"/>
      <c r="BG39" s="716"/>
      <c r="BH39" s="716"/>
      <c r="BI39" s="716"/>
      <c r="BJ39" s="716"/>
      <c r="BK39" s="716"/>
      <c r="BL39" s="716"/>
      <c r="BM39" s="716"/>
      <c r="BN39" s="716"/>
      <c r="BO39" s="716"/>
      <c r="BP39" s="716"/>
      <c r="BQ39" s="716"/>
      <c r="BR39" s="716"/>
      <c r="BS39" s="716"/>
      <c r="BT39" s="716"/>
      <c r="BU39" s="716"/>
      <c r="BV39" s="716"/>
      <c r="BW39" s="716"/>
      <c r="BX39" s="716"/>
      <c r="BY39" s="716"/>
      <c r="BZ39" s="716"/>
      <c r="CA39" s="716"/>
      <c r="CB39" s="716"/>
      <c r="CC39" s="716"/>
      <c r="CD39" s="716"/>
      <c r="CE39" s="716"/>
      <c r="CF39" s="716"/>
      <c r="CG39" s="716"/>
      <c r="CH39" s="716"/>
      <c r="CI39" s="716"/>
      <c r="CJ39" s="716"/>
      <c r="CK39" s="716"/>
      <c r="CL39" s="716"/>
      <c r="CM39" s="716"/>
      <c r="CN39" s="716"/>
      <c r="CO39" s="716"/>
      <c r="CP39" s="716"/>
      <c r="CQ39" s="716"/>
      <c r="CR39" s="716"/>
      <c r="CS39" s="716"/>
      <c r="CT39" s="716"/>
      <c r="CU39" s="716"/>
      <c r="CV39" s="716"/>
      <c r="CW39" s="716"/>
      <c r="CX39" s="716"/>
      <c r="CY39" s="716"/>
      <c r="CZ39" s="716"/>
      <c r="DA39" s="716"/>
      <c r="DB39" s="716"/>
      <c r="DC39" s="716"/>
      <c r="DD39" s="716"/>
      <c r="DE39" s="716"/>
      <c r="DF39" s="716"/>
      <c r="DG39" s="716"/>
      <c r="DH39" s="716"/>
      <c r="DI39" s="716"/>
      <c r="DJ39" s="716"/>
      <c r="DK39" s="716"/>
      <c r="DL39" s="716"/>
      <c r="DM39" s="716"/>
      <c r="DN39" s="716"/>
      <c r="DO39" s="716"/>
      <c r="DP39" s="716"/>
      <c r="DQ39" s="716"/>
      <c r="DR39" s="716"/>
      <c r="DS39" s="716"/>
      <c r="DT39" s="716"/>
      <c r="DU39" s="716"/>
      <c r="DV39" s="716"/>
      <c r="DW39" s="716"/>
      <c r="DX39" s="716"/>
      <c r="DY39" s="716"/>
      <c r="DZ39" s="716"/>
      <c r="EA39" s="716"/>
      <c r="EB39" s="716"/>
      <c r="EC39" s="716"/>
      <c r="ED39" s="716"/>
      <c r="EE39" s="716"/>
      <c r="EF39" s="716"/>
      <c r="EG39" s="716"/>
      <c r="EH39" s="716"/>
      <c r="EI39" s="716"/>
      <c r="EJ39" s="716"/>
      <c r="EK39" s="716"/>
      <c r="EL39" s="716"/>
      <c r="EM39" s="716"/>
      <c r="EN39" s="716"/>
      <c r="EO39" s="716"/>
      <c r="EP39" s="716"/>
      <c r="EQ39" s="716"/>
      <c r="ER39" s="716"/>
      <c r="ES39" s="716"/>
      <c r="ET39" s="716"/>
      <c r="EU39" s="716"/>
      <c r="EV39" s="716"/>
      <c r="EW39" s="716"/>
      <c r="EX39" s="716"/>
      <c r="EY39" s="716"/>
      <c r="EZ39" s="716"/>
      <c r="FA39" s="716"/>
      <c r="FB39" s="716"/>
      <c r="FC39" s="716"/>
      <c r="FD39" s="716"/>
      <c r="FE39" s="716"/>
      <c r="FF39" s="716"/>
      <c r="FG39" s="716"/>
      <c r="FH39" s="716"/>
      <c r="FI39" s="716"/>
      <c r="FJ39" s="716"/>
      <c r="FK39" s="716"/>
      <c r="FL39" s="716"/>
      <c r="FM39" s="716"/>
      <c r="FN39" s="716"/>
      <c r="FO39" s="716"/>
      <c r="FP39" s="716"/>
      <c r="FQ39" s="716"/>
      <c r="FR39" s="716"/>
      <c r="FS39" s="716"/>
      <c r="FT39" s="716"/>
      <c r="FU39" s="716"/>
      <c r="FV39" s="716"/>
      <c r="FW39" s="716"/>
      <c r="FX39" s="716"/>
      <c r="FY39" s="716"/>
      <c r="FZ39" s="716"/>
      <c r="GA39" s="716"/>
    </row>
    <row r="40" spans="2:183" ht="14.25" customHeight="1" x14ac:dyDescent="0.25">
      <c r="I40" s="716"/>
      <c r="L40" s="814"/>
      <c r="M40" s="27">
        <f>IF(E34=L44,0,IF(E34=L45,I35,IF(E34=L46,L39,"")))</f>
        <v>0</v>
      </c>
      <c r="AG40" s="716"/>
      <c r="AH40" s="716"/>
      <c r="AI40" s="716"/>
      <c r="AJ40" s="716"/>
      <c r="AK40" s="716"/>
      <c r="AL40" s="716"/>
      <c r="AM40" s="1393"/>
      <c r="AN40" s="1394"/>
      <c r="AO40" s="1394"/>
      <c r="AP40" s="1394"/>
      <c r="AQ40" s="1394"/>
      <c r="AR40" s="1394"/>
      <c r="AS40" s="1395"/>
      <c r="AT40" s="716"/>
      <c r="AU40" s="716"/>
      <c r="AV40" s="716"/>
      <c r="AW40" s="716"/>
      <c r="AX40" s="716"/>
      <c r="AY40" s="716"/>
      <c r="AZ40" s="716"/>
      <c r="BA40" s="716"/>
      <c r="BB40" s="716"/>
      <c r="BC40" s="716"/>
      <c r="BD40" s="716"/>
      <c r="BE40" s="716"/>
      <c r="BF40" s="716"/>
      <c r="BG40" s="716"/>
      <c r="BH40" s="716"/>
      <c r="BI40" s="716"/>
      <c r="BJ40" s="716"/>
      <c r="BK40" s="716"/>
      <c r="BL40" s="716"/>
      <c r="BM40" s="716"/>
      <c r="BN40" s="716"/>
      <c r="BO40" s="716"/>
      <c r="BP40" s="716"/>
      <c r="BQ40" s="716"/>
      <c r="BR40" s="716"/>
      <c r="BS40" s="716"/>
      <c r="BT40" s="716"/>
      <c r="BU40" s="716"/>
      <c r="BV40" s="716"/>
      <c r="BW40" s="716"/>
      <c r="BX40" s="716"/>
      <c r="BY40" s="716"/>
      <c r="BZ40" s="716"/>
      <c r="CA40" s="716"/>
      <c r="CB40" s="716"/>
      <c r="CC40" s="716"/>
      <c r="CD40" s="716"/>
      <c r="CE40" s="716"/>
      <c r="CF40" s="716"/>
      <c r="CG40" s="716"/>
      <c r="CH40" s="716"/>
      <c r="CI40" s="716"/>
      <c r="CJ40" s="716"/>
      <c r="CK40" s="716"/>
      <c r="CL40" s="716"/>
      <c r="CM40" s="716"/>
      <c r="CN40" s="716"/>
      <c r="CO40" s="716"/>
      <c r="CP40" s="716"/>
      <c r="CQ40" s="716"/>
      <c r="CR40" s="716"/>
      <c r="CS40" s="716"/>
      <c r="CT40" s="716"/>
      <c r="CU40" s="716"/>
      <c r="CV40" s="716"/>
      <c r="CW40" s="716"/>
      <c r="CX40" s="716"/>
      <c r="CY40" s="716"/>
      <c r="CZ40" s="716"/>
      <c r="DA40" s="716"/>
      <c r="DB40" s="716"/>
      <c r="DC40" s="716"/>
      <c r="DD40" s="716"/>
      <c r="DE40" s="716"/>
      <c r="DF40" s="716"/>
      <c r="DG40" s="716"/>
      <c r="DH40" s="716"/>
      <c r="DI40" s="716"/>
      <c r="DJ40" s="716"/>
      <c r="DK40" s="716"/>
      <c r="DL40" s="716"/>
      <c r="DM40" s="716"/>
      <c r="DN40" s="716"/>
      <c r="DO40" s="716"/>
      <c r="DP40" s="716"/>
      <c r="DQ40" s="716"/>
      <c r="DR40" s="716"/>
      <c r="DS40" s="716"/>
      <c r="DT40" s="716"/>
      <c r="DU40" s="716"/>
      <c r="DV40" s="716"/>
      <c r="DW40" s="716"/>
      <c r="DX40" s="716"/>
      <c r="DY40" s="716"/>
      <c r="DZ40" s="716"/>
      <c r="EA40" s="716"/>
      <c r="EB40" s="716"/>
      <c r="EC40" s="716"/>
      <c r="ED40" s="716"/>
      <c r="EE40" s="716"/>
      <c r="EF40" s="716"/>
      <c r="EG40" s="716"/>
      <c r="EH40" s="716"/>
      <c r="EI40" s="716"/>
      <c r="EJ40" s="716"/>
      <c r="EK40" s="716"/>
      <c r="EL40" s="716"/>
      <c r="EM40" s="716"/>
      <c r="EN40" s="716"/>
      <c r="EO40" s="716"/>
      <c r="EP40" s="716"/>
      <c r="EQ40" s="716"/>
      <c r="ER40" s="716"/>
      <c r="ES40" s="716"/>
      <c r="ET40" s="716"/>
      <c r="EU40" s="716"/>
      <c r="EV40" s="716"/>
      <c r="EW40" s="716"/>
      <c r="EX40" s="716"/>
      <c r="EY40" s="716"/>
      <c r="EZ40" s="716"/>
      <c r="FA40" s="716"/>
      <c r="FB40" s="716"/>
      <c r="FC40" s="716"/>
      <c r="FD40" s="716"/>
      <c r="FE40" s="716"/>
      <c r="FF40" s="716"/>
      <c r="FG40" s="716"/>
      <c r="FH40" s="716"/>
      <c r="FI40" s="716"/>
      <c r="FJ40" s="716"/>
      <c r="FK40" s="716"/>
      <c r="FL40" s="716"/>
      <c r="FM40" s="716"/>
      <c r="FN40" s="716"/>
      <c r="FO40" s="716"/>
      <c r="FP40" s="716"/>
      <c r="FQ40" s="716"/>
      <c r="FR40" s="716"/>
      <c r="FS40" s="716"/>
      <c r="FT40" s="716"/>
      <c r="FU40" s="716"/>
      <c r="FV40" s="716"/>
      <c r="FW40" s="716"/>
      <c r="FX40" s="716"/>
      <c r="FY40" s="716"/>
      <c r="FZ40" s="716"/>
      <c r="GA40" s="716"/>
    </row>
    <row r="41" spans="2:183" ht="17.399999999999999" x14ac:dyDescent="0.3">
      <c r="F41" s="1440" t="s">
        <v>571</v>
      </c>
      <c r="G41" s="1440"/>
      <c r="H41" s="1440"/>
      <c r="I41" s="825">
        <f>IF(C38="Falta indicar el Nº de días","",IF(I36="Borre el importe de la factura","",IF(D67&lt;&gt;"",0,SUM(Q31+S36+T36))))</f>
        <v>0</v>
      </c>
      <c r="L41" s="866" t="s">
        <v>535</v>
      </c>
      <c r="AG41" s="716"/>
      <c r="AH41" s="716"/>
      <c r="AI41" s="716"/>
      <c r="AJ41" s="716"/>
      <c r="AK41" s="716"/>
      <c r="AL41" s="716"/>
      <c r="AM41" s="1396"/>
      <c r="AN41" s="1010"/>
      <c r="AO41" s="1010"/>
      <c r="AP41" s="1010"/>
      <c r="AQ41" s="1010"/>
      <c r="AR41" s="1010"/>
      <c r="AS41" s="1397"/>
      <c r="AT41" s="716"/>
      <c r="AU41" s="716"/>
      <c r="AV41" s="716"/>
      <c r="AW41" s="716"/>
      <c r="AX41" s="716"/>
      <c r="AY41" s="716"/>
      <c r="AZ41" s="716"/>
      <c r="BA41" s="716"/>
      <c r="BB41" s="716"/>
      <c r="BC41" s="716"/>
      <c r="BD41" s="716"/>
      <c r="BE41" s="716"/>
      <c r="BF41" s="716"/>
      <c r="BG41" s="716"/>
      <c r="BH41" s="716"/>
      <c r="BI41" s="716"/>
      <c r="BJ41" s="716"/>
      <c r="BK41" s="716"/>
      <c r="BL41" s="716"/>
      <c r="BM41" s="716"/>
      <c r="BN41" s="716"/>
      <c r="BO41" s="716"/>
      <c r="BP41" s="716"/>
      <c r="BQ41" s="716"/>
      <c r="BR41" s="716"/>
      <c r="BS41" s="716"/>
      <c r="BT41" s="716"/>
      <c r="BU41" s="716"/>
      <c r="BV41" s="716"/>
      <c r="BW41" s="716"/>
      <c r="BX41" s="716"/>
      <c r="BY41" s="716"/>
      <c r="BZ41" s="716"/>
      <c r="CA41" s="716"/>
      <c r="CB41" s="716"/>
      <c r="CC41" s="716"/>
      <c r="CD41" s="716"/>
      <c r="CE41" s="716"/>
      <c r="CF41" s="716"/>
      <c r="CG41" s="716"/>
      <c r="CH41" s="716"/>
      <c r="CI41" s="716"/>
      <c r="CJ41" s="716"/>
      <c r="CK41" s="716"/>
      <c r="CL41" s="716"/>
      <c r="CM41" s="716"/>
      <c r="CN41" s="716"/>
      <c r="CO41" s="716"/>
      <c r="CP41" s="716"/>
      <c r="CQ41" s="716"/>
      <c r="CR41" s="716"/>
      <c r="CS41" s="716"/>
      <c r="CT41" s="716"/>
      <c r="CU41" s="716"/>
      <c r="CV41" s="716"/>
      <c r="CW41" s="716"/>
      <c r="CX41" s="716"/>
      <c r="CY41" s="716"/>
      <c r="CZ41" s="716"/>
      <c r="DA41" s="716"/>
      <c r="DB41" s="716"/>
      <c r="DC41" s="716"/>
      <c r="DD41" s="716"/>
      <c r="DE41" s="716"/>
      <c r="DF41" s="716"/>
      <c r="DG41" s="716"/>
      <c r="DH41" s="716"/>
      <c r="DI41" s="716"/>
      <c r="DJ41" s="716"/>
      <c r="DK41" s="716"/>
      <c r="DL41" s="716"/>
      <c r="DM41" s="716"/>
      <c r="DN41" s="716"/>
      <c r="DO41" s="716"/>
      <c r="DP41" s="716"/>
      <c r="DQ41" s="716"/>
      <c r="DR41" s="716"/>
      <c r="DS41" s="716"/>
      <c r="DT41" s="716"/>
      <c r="DU41" s="716"/>
      <c r="DV41" s="716"/>
      <c r="DW41" s="716"/>
      <c r="DX41" s="716"/>
      <c r="DY41" s="716"/>
      <c r="DZ41" s="716"/>
      <c r="EA41" s="716"/>
      <c r="EB41" s="716"/>
      <c r="EC41" s="716"/>
      <c r="ED41" s="716"/>
      <c r="EE41" s="716"/>
      <c r="EF41" s="716"/>
      <c r="EG41" s="716"/>
      <c r="EH41" s="716"/>
      <c r="EI41" s="716"/>
      <c r="EJ41" s="716"/>
      <c r="EK41" s="716"/>
      <c r="EL41" s="716"/>
      <c r="EM41" s="716"/>
      <c r="EN41" s="716"/>
      <c r="EO41" s="716"/>
      <c r="EP41" s="716"/>
      <c r="EQ41" s="716"/>
      <c r="ER41" s="716"/>
      <c r="ES41" s="716"/>
      <c r="ET41" s="716"/>
      <c r="EU41" s="716"/>
      <c r="EV41" s="716"/>
      <c r="EW41" s="716"/>
      <c r="EX41" s="716"/>
      <c r="EY41" s="716"/>
      <c r="EZ41" s="716"/>
      <c r="FA41" s="716"/>
      <c r="FB41" s="716"/>
      <c r="FC41" s="716"/>
      <c r="FD41" s="716"/>
      <c r="FE41" s="716"/>
      <c r="FF41" s="716"/>
      <c r="FG41" s="716"/>
      <c r="FH41" s="716"/>
      <c r="FI41" s="716"/>
      <c r="FJ41" s="716"/>
      <c r="FK41" s="716"/>
      <c r="FL41" s="716"/>
      <c r="FM41" s="716"/>
      <c r="FN41" s="716"/>
      <c r="FO41" s="716"/>
      <c r="FP41" s="716"/>
      <c r="FQ41" s="716"/>
      <c r="FR41" s="716"/>
      <c r="FS41" s="716"/>
      <c r="FT41" s="716"/>
      <c r="FU41" s="716"/>
      <c r="FV41" s="716"/>
      <c r="FW41" s="716"/>
      <c r="FX41" s="716"/>
      <c r="FY41" s="716"/>
      <c r="FZ41" s="716"/>
      <c r="GA41" s="716"/>
    </row>
    <row r="42" spans="2:183" ht="13.65" customHeight="1" x14ac:dyDescent="0.25">
      <c r="I42" s="716"/>
      <c r="L42" s="865" t="s">
        <v>0</v>
      </c>
      <c r="AG42" s="716"/>
      <c r="AH42" s="716"/>
      <c r="AI42" s="716"/>
      <c r="AJ42" s="716"/>
      <c r="AK42" s="716"/>
      <c r="AL42" s="716"/>
      <c r="AM42" s="716"/>
      <c r="AN42" s="716"/>
      <c r="AO42" s="716"/>
      <c r="AP42" s="716"/>
      <c r="AQ42" s="716"/>
      <c r="AR42" s="716"/>
      <c r="AS42" s="716"/>
      <c r="AT42" s="716"/>
      <c r="AU42" s="716"/>
      <c r="AV42" s="716"/>
      <c r="AW42" s="716"/>
      <c r="AX42" s="716"/>
      <c r="AY42" s="716"/>
      <c r="AZ42" s="716"/>
      <c r="BA42" s="716"/>
      <c r="BB42" s="716"/>
      <c r="BC42" s="716"/>
      <c r="BD42" s="716"/>
      <c r="BE42" s="716"/>
      <c r="BF42" s="716"/>
      <c r="BG42" s="716"/>
      <c r="BH42" s="716"/>
      <c r="BI42" s="716"/>
      <c r="BJ42" s="716"/>
      <c r="BK42" s="716"/>
      <c r="BL42" s="716"/>
      <c r="BM42" s="716"/>
      <c r="BN42" s="716"/>
      <c r="BO42" s="716"/>
      <c r="BP42" s="716"/>
      <c r="BQ42" s="716"/>
      <c r="BR42" s="716"/>
      <c r="BS42" s="716"/>
      <c r="BT42" s="716"/>
      <c r="BU42" s="716"/>
      <c r="BV42" s="716"/>
      <c r="BW42" s="716"/>
      <c r="BX42" s="716"/>
      <c r="BY42" s="716"/>
      <c r="BZ42" s="716"/>
      <c r="CA42" s="716"/>
      <c r="CB42" s="716"/>
      <c r="CC42" s="716"/>
      <c r="CD42" s="716"/>
      <c r="CE42" s="716"/>
      <c r="CF42" s="716"/>
      <c r="CG42" s="716"/>
      <c r="CH42" s="716"/>
      <c r="CI42" s="716"/>
      <c r="CJ42" s="716"/>
      <c r="CK42" s="716"/>
      <c r="CL42" s="716"/>
      <c r="CM42" s="716"/>
      <c r="CN42" s="716"/>
      <c r="CO42" s="716"/>
      <c r="CP42" s="716"/>
      <c r="CQ42" s="716"/>
      <c r="CR42" s="716"/>
      <c r="CS42" s="716"/>
      <c r="CT42" s="716"/>
      <c r="CU42" s="716"/>
      <c r="CV42" s="716"/>
      <c r="CW42" s="716"/>
      <c r="CX42" s="716"/>
      <c r="CY42" s="716"/>
      <c r="CZ42" s="716"/>
      <c r="DA42" s="716"/>
      <c r="DB42" s="716"/>
      <c r="DC42" s="716"/>
      <c r="DD42" s="716"/>
      <c r="DE42" s="716"/>
      <c r="DF42" s="716"/>
      <c r="DG42" s="716"/>
      <c r="DH42" s="716"/>
      <c r="DI42" s="716"/>
      <c r="DJ42" s="716"/>
      <c r="DK42" s="716"/>
      <c r="DL42" s="716"/>
      <c r="DM42" s="716"/>
      <c r="DN42" s="716"/>
      <c r="DO42" s="716"/>
      <c r="DP42" s="716"/>
      <c r="DQ42" s="716"/>
      <c r="DR42" s="716"/>
      <c r="DS42" s="716"/>
      <c r="DT42" s="716"/>
      <c r="DU42" s="716"/>
      <c r="DV42" s="716"/>
      <c r="DW42" s="716"/>
      <c r="DX42" s="716"/>
      <c r="DY42" s="716"/>
      <c r="DZ42" s="716"/>
      <c r="EA42" s="716"/>
      <c r="EB42" s="716"/>
      <c r="EC42" s="716"/>
      <c r="ED42" s="716"/>
      <c r="EE42" s="716"/>
      <c r="EF42" s="716"/>
      <c r="EG42" s="716"/>
      <c r="EH42" s="716"/>
      <c r="EI42" s="716"/>
      <c r="EJ42" s="716"/>
      <c r="EK42" s="716"/>
      <c r="EL42" s="716"/>
      <c r="EM42" s="716"/>
      <c r="EN42" s="716"/>
      <c r="EO42" s="716"/>
      <c r="EP42" s="716"/>
      <c r="EQ42" s="716"/>
      <c r="ER42" s="716"/>
      <c r="ES42" s="716"/>
      <c r="ET42" s="716"/>
      <c r="EU42" s="716"/>
      <c r="EV42" s="716"/>
      <c r="EW42" s="716"/>
      <c r="EX42" s="716"/>
      <c r="EY42" s="716"/>
      <c r="EZ42" s="716"/>
      <c r="FA42" s="716"/>
      <c r="FB42" s="716"/>
      <c r="FC42" s="716"/>
      <c r="FD42" s="716"/>
      <c r="FE42" s="716"/>
      <c r="FF42" s="716"/>
      <c r="FG42" s="716"/>
      <c r="FH42" s="716"/>
      <c r="FI42" s="716"/>
      <c r="FJ42" s="716"/>
      <c r="FK42" s="716"/>
      <c r="FL42" s="716"/>
      <c r="FM42" s="716"/>
      <c r="FN42" s="716"/>
      <c r="FO42" s="716"/>
      <c r="FP42" s="716"/>
      <c r="FQ42" s="716"/>
      <c r="FR42" s="716"/>
      <c r="FS42" s="716"/>
      <c r="FT42" s="716"/>
      <c r="FU42" s="716"/>
      <c r="FV42" s="716"/>
      <c r="FW42" s="716"/>
      <c r="FX42" s="716"/>
      <c r="FY42" s="716"/>
      <c r="FZ42" s="716"/>
      <c r="GA42" s="716"/>
    </row>
    <row r="43" spans="2:183" ht="17.399999999999999" x14ac:dyDescent="0.3">
      <c r="C43" s="1443" t="str">
        <f>IF(D67&lt;&gt;"","","PAGOS A TERCEROS:")</f>
        <v/>
      </c>
      <c r="D43" s="1443"/>
      <c r="E43" s="1443"/>
      <c r="F43" s="1443"/>
      <c r="G43" s="1443"/>
      <c r="H43" s="1443"/>
      <c r="I43" s="788" t="str">
        <f>IF(D67&lt;&gt;"","",S36)</f>
        <v/>
      </c>
      <c r="L43" s="860" t="s">
        <v>639</v>
      </c>
      <c r="AG43" s="716"/>
      <c r="AH43" s="716"/>
      <c r="AI43" s="716"/>
      <c r="AJ43" s="716"/>
      <c r="AK43" s="716"/>
      <c r="AL43" s="716"/>
      <c r="AM43" s="716"/>
      <c r="AN43" s="716"/>
      <c r="AO43" s="716"/>
      <c r="AP43" s="716"/>
      <c r="AQ43" s="716"/>
      <c r="AR43" s="716"/>
      <c r="AS43" s="716"/>
      <c r="AT43" s="716"/>
      <c r="AU43" s="716"/>
      <c r="AV43" s="716"/>
      <c r="AW43" s="716"/>
      <c r="AX43" s="716"/>
      <c r="AY43" s="716"/>
      <c r="AZ43" s="716"/>
      <c r="BA43" s="716"/>
      <c r="BB43" s="716"/>
      <c r="BC43" s="716"/>
      <c r="BD43" s="716"/>
      <c r="BE43" s="716"/>
      <c r="BF43" s="716"/>
      <c r="BG43" s="716"/>
      <c r="BH43" s="716"/>
      <c r="BI43" s="716"/>
      <c r="BJ43" s="716"/>
      <c r="BK43" s="716"/>
      <c r="BL43" s="716"/>
      <c r="BM43" s="716"/>
      <c r="BN43" s="716"/>
      <c r="BO43" s="716"/>
      <c r="BP43" s="716"/>
      <c r="BQ43" s="716"/>
      <c r="BR43" s="716"/>
      <c r="BS43" s="716"/>
      <c r="BT43" s="716"/>
      <c r="BU43" s="716"/>
      <c r="BV43" s="716"/>
      <c r="BW43" s="716"/>
      <c r="BX43" s="716"/>
      <c r="BY43" s="716"/>
      <c r="BZ43" s="716"/>
      <c r="CA43" s="716"/>
      <c r="CB43" s="716"/>
      <c r="CC43" s="716"/>
      <c r="CD43" s="716"/>
      <c r="CE43" s="716"/>
      <c r="CF43" s="716"/>
      <c r="CG43" s="716"/>
      <c r="CH43" s="716"/>
      <c r="CI43" s="716"/>
      <c r="CJ43" s="716"/>
      <c r="CK43" s="716"/>
      <c r="CL43" s="716"/>
      <c r="CM43" s="716"/>
      <c r="CN43" s="716"/>
      <c r="CO43" s="716"/>
      <c r="CP43" s="716"/>
      <c r="CQ43" s="716"/>
      <c r="CR43" s="716"/>
      <c r="CS43" s="716"/>
      <c r="CT43" s="716"/>
      <c r="CU43" s="716"/>
      <c r="CV43" s="716"/>
      <c r="CW43" s="716"/>
      <c r="CX43" s="716"/>
      <c r="CY43" s="716"/>
      <c r="CZ43" s="716"/>
      <c r="DA43" s="716"/>
      <c r="DB43" s="716"/>
      <c r="DC43" s="716"/>
      <c r="DD43" s="716"/>
      <c r="DE43" s="716"/>
      <c r="DF43" s="716"/>
      <c r="DG43" s="716"/>
      <c r="DH43" s="716"/>
      <c r="DI43" s="716"/>
      <c r="DJ43" s="716"/>
      <c r="DK43" s="716"/>
      <c r="DL43" s="716"/>
      <c r="DM43" s="716"/>
      <c r="DN43" s="716"/>
      <c r="DO43" s="716"/>
      <c r="DP43" s="716"/>
      <c r="DQ43" s="716"/>
      <c r="DR43" s="716"/>
      <c r="DS43" s="716"/>
      <c r="DT43" s="716"/>
      <c r="DU43" s="716"/>
      <c r="DV43" s="716"/>
      <c r="DW43" s="716"/>
      <c r="DX43" s="716"/>
      <c r="DY43" s="716"/>
      <c r="DZ43" s="716"/>
      <c r="EA43" s="716"/>
      <c r="EB43" s="716"/>
      <c r="EC43" s="716"/>
      <c r="ED43" s="716"/>
      <c r="EE43" s="716"/>
      <c r="EF43" s="716"/>
      <c r="EG43" s="716"/>
      <c r="EH43" s="716"/>
      <c r="EI43" s="716"/>
      <c r="EJ43" s="716"/>
      <c r="EK43" s="716"/>
      <c r="EL43" s="716"/>
      <c r="EM43" s="716"/>
      <c r="EN43" s="716"/>
      <c r="EO43" s="716"/>
      <c r="EP43" s="716"/>
      <c r="EQ43" s="716"/>
      <c r="ER43" s="716"/>
      <c r="ES43" s="716"/>
      <c r="ET43" s="716"/>
      <c r="EU43" s="716"/>
      <c r="EV43" s="716"/>
      <c r="EW43" s="716"/>
      <c r="EX43" s="716"/>
      <c r="EY43" s="716"/>
      <c r="EZ43" s="716"/>
      <c r="FA43" s="716"/>
      <c r="FB43" s="716"/>
      <c r="FC43" s="716"/>
      <c r="FD43" s="716"/>
      <c r="FE43" s="716"/>
      <c r="FF43" s="716"/>
      <c r="FG43" s="716"/>
      <c r="FH43" s="716"/>
      <c r="FI43" s="716"/>
      <c r="FJ43" s="716"/>
      <c r="FK43" s="716"/>
      <c r="FL43" s="716"/>
      <c r="FM43" s="716"/>
      <c r="FN43" s="716"/>
      <c r="FO43" s="716"/>
      <c r="FP43" s="716"/>
      <c r="FQ43" s="716"/>
      <c r="FR43" s="716"/>
      <c r="FS43" s="716"/>
      <c r="FT43" s="716"/>
      <c r="FU43" s="716"/>
      <c r="FV43" s="716"/>
      <c r="FW43" s="716"/>
      <c r="FX43" s="716"/>
      <c r="FY43" s="716"/>
      <c r="FZ43" s="716"/>
      <c r="GA43" s="716"/>
    </row>
    <row r="44" spans="2:183" ht="19.95" customHeight="1" x14ac:dyDescent="0.3">
      <c r="B44" s="1444" t="str">
        <f>IF(C15="","","Total abonar a: "&amp;" "&amp;C15)&amp;" "&amp;TEXT((Q31),"#.###,00 €")&amp;" líquido a percibir:"&amp;"          "&amp;TEXT((R31),"#.###,00 €")</f>
        <v xml:space="preserve">  líquido a percibir:          </v>
      </c>
      <c r="C44" s="1444"/>
      <c r="D44" s="1444"/>
      <c r="E44" s="1444"/>
      <c r="F44" s="1444"/>
      <c r="G44" s="1444"/>
      <c r="H44" s="1444"/>
      <c r="I44" s="1444"/>
      <c r="L44" s="866" t="s">
        <v>641</v>
      </c>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c r="BZ44" s="716"/>
      <c r="CA44" s="716"/>
      <c r="CB44" s="716"/>
      <c r="CC44" s="716"/>
      <c r="CD44" s="716"/>
      <c r="CE44" s="716"/>
      <c r="CF44" s="716"/>
      <c r="CG44" s="716"/>
      <c r="CH44" s="716"/>
      <c r="CI44" s="716"/>
      <c r="CJ44" s="716"/>
      <c r="CK44" s="716"/>
      <c r="CL44" s="716"/>
      <c r="CM44" s="716"/>
      <c r="CN44" s="716"/>
      <c r="CO44" s="716"/>
      <c r="CP44" s="716"/>
      <c r="CQ44" s="716"/>
      <c r="CR44" s="716"/>
      <c r="CS44" s="716"/>
      <c r="CT44" s="716"/>
      <c r="CU44" s="716"/>
      <c r="CV44" s="716"/>
      <c r="CW44" s="716"/>
      <c r="CX44" s="716"/>
      <c r="CY44" s="716"/>
      <c r="CZ44" s="716"/>
      <c r="DA44" s="716"/>
      <c r="DB44" s="716"/>
      <c r="DC44" s="716"/>
      <c r="DD44" s="716"/>
      <c r="DE44" s="716"/>
      <c r="DF44" s="716"/>
      <c r="DG44" s="716"/>
      <c r="DH44" s="716"/>
      <c r="DI44" s="716"/>
      <c r="DJ44" s="716"/>
      <c r="DK44" s="716"/>
      <c r="DL44" s="716"/>
      <c r="DM44" s="716"/>
      <c r="DN44" s="716"/>
      <c r="DO44" s="716"/>
      <c r="DP44" s="716"/>
      <c r="DQ44" s="716"/>
      <c r="DR44" s="716"/>
      <c r="DS44" s="716"/>
      <c r="DT44" s="716"/>
      <c r="DU44" s="716"/>
      <c r="DV44" s="716"/>
      <c r="DW44" s="716"/>
      <c r="DX44" s="716"/>
      <c r="DY44" s="716"/>
      <c r="DZ44" s="716"/>
      <c r="EA44" s="716"/>
      <c r="EB44" s="716"/>
      <c r="EC44" s="716"/>
      <c r="ED44" s="716"/>
      <c r="EE44" s="716"/>
      <c r="EF44" s="716"/>
      <c r="EG44" s="716"/>
      <c r="EH44" s="716"/>
      <c r="EI44" s="716"/>
      <c r="EJ44" s="716"/>
      <c r="EK44" s="716"/>
      <c r="EL44" s="716"/>
      <c r="EM44" s="716"/>
      <c r="EN44" s="716"/>
      <c r="EO44" s="716"/>
      <c r="EP44" s="716"/>
      <c r="EQ44" s="716"/>
      <c r="ER44" s="716"/>
      <c r="ES44" s="716"/>
      <c r="ET44" s="716"/>
      <c r="EU44" s="716"/>
      <c r="EV44" s="716"/>
      <c r="EW44" s="716"/>
      <c r="EX44" s="716"/>
      <c r="EY44" s="716"/>
      <c r="EZ44" s="716"/>
      <c r="FA44" s="716"/>
      <c r="FB44" s="716"/>
      <c r="FC44" s="716"/>
      <c r="FD44" s="716"/>
      <c r="FE44" s="716"/>
      <c r="FF44" s="716"/>
      <c r="FG44" s="716"/>
      <c r="FH44" s="716"/>
      <c r="FI44" s="716"/>
      <c r="FJ44" s="716"/>
      <c r="FK44" s="716"/>
      <c r="FL44" s="716"/>
      <c r="FM44" s="716"/>
      <c r="FN44" s="716"/>
      <c r="FO44" s="716"/>
      <c r="FP44" s="716"/>
      <c r="FQ44" s="716"/>
      <c r="FR44" s="716"/>
      <c r="FS44" s="716"/>
      <c r="FT44" s="716"/>
      <c r="FU44" s="716"/>
      <c r="FV44" s="716"/>
      <c r="FW44" s="716"/>
      <c r="FX44" s="716"/>
      <c r="FY44" s="716"/>
      <c r="FZ44" s="716"/>
      <c r="GA44" s="716"/>
    </row>
    <row r="45" spans="2:183" ht="19.95" customHeight="1" x14ac:dyDescent="0.3">
      <c r="B45" s="1445" t="str">
        <f>IF(C38="Falta indicar el Nº de días","",IF(I36="Borre el importe de la factura","Borre el importe de la factura",IF(D67&lt;&gt;"","",IF(C15="","","Total abonar a: "&amp;" "&amp;R9)&amp;" "&amp;TEXT((T36),"#.###,00 €"))))</f>
        <v/>
      </c>
      <c r="C45" s="1445"/>
      <c r="D45" s="1445"/>
      <c r="E45" s="1445"/>
      <c r="F45" s="1445"/>
      <c r="G45" s="1445"/>
      <c r="H45" s="1445"/>
      <c r="I45" s="1445"/>
      <c r="L45" s="866" t="s">
        <v>642</v>
      </c>
      <c r="AG45" s="716"/>
      <c r="AH45" s="716"/>
      <c r="AI45" s="716"/>
      <c r="AJ45" s="716"/>
      <c r="AK45" s="716"/>
      <c r="AL45" s="716"/>
      <c r="AM45" s="716"/>
      <c r="AN45" s="716"/>
      <c r="AO45" s="716"/>
      <c r="AP45" s="716"/>
      <c r="AQ45" s="716"/>
      <c r="AR45" s="716"/>
      <c r="AS45" s="716"/>
      <c r="AT45" s="716"/>
      <c r="AU45" s="716"/>
      <c r="AV45" s="716"/>
      <c r="AW45" s="716"/>
      <c r="AX45" s="716"/>
      <c r="AY45" s="716"/>
      <c r="AZ45" s="716"/>
      <c r="BA45" s="716"/>
      <c r="BB45" s="716"/>
      <c r="BC45" s="716"/>
      <c r="BD45" s="716"/>
      <c r="BE45" s="716"/>
      <c r="BF45" s="716"/>
      <c r="BG45" s="716"/>
      <c r="BH45" s="716"/>
      <c r="BI45" s="716"/>
      <c r="BJ45" s="716"/>
      <c r="BK45" s="716"/>
      <c r="BL45" s="716"/>
      <c r="BM45" s="716"/>
      <c r="BN45" s="716"/>
      <c r="BO45" s="716"/>
      <c r="BP45" s="716"/>
      <c r="BQ45" s="716"/>
      <c r="BR45" s="716"/>
      <c r="BS45" s="716"/>
      <c r="BT45" s="716"/>
      <c r="BU45" s="716"/>
      <c r="BV45" s="716"/>
      <c r="BW45" s="716"/>
      <c r="BX45" s="716"/>
      <c r="BY45" s="716"/>
      <c r="BZ45" s="716"/>
      <c r="CA45" s="716"/>
      <c r="CB45" s="716"/>
      <c r="CC45" s="716"/>
      <c r="CD45" s="716"/>
      <c r="CE45" s="716"/>
      <c r="CF45" s="716"/>
      <c r="CG45" s="716"/>
      <c r="CH45" s="716"/>
      <c r="CI45" s="716"/>
      <c r="CJ45" s="716"/>
      <c r="CK45" s="716"/>
      <c r="CL45" s="716"/>
      <c r="CM45" s="716"/>
      <c r="CN45" s="716"/>
      <c r="CO45" s="716"/>
      <c r="CP45" s="716"/>
      <c r="CQ45" s="716"/>
      <c r="CR45" s="716"/>
      <c r="CS45" s="716"/>
      <c r="CT45" s="716"/>
      <c r="CU45" s="716"/>
      <c r="CV45" s="716"/>
      <c r="CW45" s="716"/>
      <c r="CX45" s="716"/>
      <c r="CY45" s="716"/>
      <c r="CZ45" s="716"/>
      <c r="DA45" s="716"/>
      <c r="DB45" s="716"/>
      <c r="DC45" s="716"/>
      <c r="DD45" s="716"/>
      <c r="DE45" s="716"/>
      <c r="DF45" s="716"/>
      <c r="DG45" s="716"/>
      <c r="DH45" s="716"/>
      <c r="DI45" s="716"/>
      <c r="DJ45" s="716"/>
      <c r="DK45" s="716"/>
      <c r="DL45" s="716"/>
      <c r="DM45" s="716"/>
      <c r="DN45" s="716"/>
      <c r="DO45" s="716"/>
      <c r="DP45" s="716"/>
      <c r="DQ45" s="716"/>
      <c r="DR45" s="716"/>
      <c r="DS45" s="716"/>
      <c r="DT45" s="716"/>
      <c r="DU45" s="716"/>
      <c r="DV45" s="716"/>
      <c r="DW45" s="716"/>
      <c r="DX45" s="716"/>
      <c r="DY45" s="716"/>
      <c r="DZ45" s="716"/>
      <c r="EA45" s="716"/>
      <c r="EB45" s="716"/>
      <c r="EC45" s="716"/>
      <c r="ED45" s="716"/>
      <c r="EE45" s="716"/>
      <c r="EF45" s="716"/>
      <c r="EG45" s="716"/>
      <c r="EH45" s="716"/>
      <c r="EI45" s="716"/>
      <c r="EJ45" s="716"/>
      <c r="EK45" s="716"/>
      <c r="EL45" s="716"/>
      <c r="EM45" s="716"/>
      <c r="EN45" s="716"/>
      <c r="EO45" s="716"/>
      <c r="EP45" s="716"/>
      <c r="EQ45" s="716"/>
      <c r="ER45" s="716"/>
      <c r="ES45" s="716"/>
      <c r="ET45" s="716"/>
      <c r="EU45" s="716"/>
      <c r="EV45" s="716"/>
      <c r="EW45" s="716"/>
      <c r="EX45" s="716"/>
      <c r="EY45" s="716"/>
      <c r="EZ45" s="716"/>
      <c r="FA45" s="716"/>
      <c r="FB45" s="716"/>
      <c r="FC45" s="716"/>
      <c r="FD45" s="716"/>
      <c r="FE45" s="716"/>
      <c r="FF45" s="716"/>
      <c r="FG45" s="716"/>
      <c r="FH45" s="716"/>
      <c r="FI45" s="716"/>
      <c r="FJ45" s="716"/>
      <c r="FK45" s="716"/>
      <c r="FL45" s="716"/>
      <c r="FM45" s="716"/>
      <c r="FN45" s="716"/>
      <c r="FO45" s="716"/>
      <c r="FP45" s="716"/>
      <c r="FQ45" s="716"/>
      <c r="FR45" s="716"/>
      <c r="FS45" s="716"/>
      <c r="FT45" s="716"/>
      <c r="FU45" s="716"/>
      <c r="FV45" s="716"/>
      <c r="FW45" s="716"/>
      <c r="FX45" s="716"/>
      <c r="FY45" s="716"/>
      <c r="FZ45" s="716"/>
      <c r="GA45" s="716"/>
    </row>
    <row r="46" spans="2:183" ht="19.95" customHeight="1" x14ac:dyDescent="0.3">
      <c r="C46" s="755"/>
      <c r="D46" s="755"/>
      <c r="E46" s="755"/>
      <c r="F46" s="755"/>
      <c r="G46" s="755"/>
      <c r="H46" s="755"/>
      <c r="I46" s="755"/>
      <c r="L46" s="866" t="s">
        <v>643</v>
      </c>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c r="BZ46" s="716"/>
      <c r="CA46" s="716"/>
      <c r="CB46" s="716"/>
      <c r="CC46" s="716"/>
      <c r="CD46" s="716"/>
      <c r="CE46" s="716"/>
      <c r="CF46" s="716"/>
      <c r="CG46" s="716"/>
      <c r="CH46" s="716"/>
      <c r="CI46" s="716"/>
      <c r="CJ46" s="716"/>
      <c r="CK46" s="716"/>
      <c r="CL46" s="716"/>
      <c r="CM46" s="716"/>
      <c r="CN46" s="716"/>
      <c r="CO46" s="716"/>
      <c r="CP46" s="716"/>
      <c r="CQ46" s="716"/>
      <c r="CR46" s="716"/>
      <c r="CS46" s="716"/>
      <c r="CT46" s="716"/>
      <c r="CU46" s="716"/>
      <c r="CV46" s="716"/>
      <c r="CW46" s="716"/>
      <c r="CX46" s="716"/>
      <c r="CY46" s="716"/>
      <c r="CZ46" s="716"/>
      <c r="DA46" s="716"/>
      <c r="DB46" s="716"/>
      <c r="DC46" s="716"/>
      <c r="DD46" s="716"/>
      <c r="DE46" s="716"/>
      <c r="DF46" s="716"/>
      <c r="DG46" s="716"/>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c r="ED46" s="716"/>
      <c r="EE46" s="716"/>
      <c r="EF46" s="716"/>
      <c r="EG46" s="716"/>
      <c r="EH46" s="716"/>
      <c r="EI46" s="716"/>
      <c r="EJ46" s="716"/>
      <c r="EK46" s="716"/>
      <c r="EL46" s="716"/>
      <c r="EM46" s="716"/>
      <c r="EN46" s="716"/>
      <c r="EO46" s="716"/>
      <c r="EP46" s="716"/>
      <c r="EQ46" s="716"/>
      <c r="ER46" s="716"/>
      <c r="ES46" s="716"/>
      <c r="ET46" s="716"/>
      <c r="EU46" s="716"/>
      <c r="EV46" s="716"/>
      <c r="EW46" s="716"/>
      <c r="EX46" s="716"/>
      <c r="EY46" s="716"/>
      <c r="EZ46" s="716"/>
      <c r="FA46" s="716"/>
      <c r="FB46" s="716"/>
      <c r="FC46" s="716"/>
      <c r="FD46" s="716"/>
      <c r="FE46" s="716"/>
      <c r="FF46" s="716"/>
      <c r="FG46" s="716"/>
      <c r="FH46" s="716"/>
      <c r="FI46" s="716"/>
      <c r="FJ46" s="716"/>
      <c r="FK46" s="716"/>
      <c r="FL46" s="716"/>
      <c r="FM46" s="716"/>
      <c r="FN46" s="716"/>
      <c r="FO46" s="716"/>
      <c r="FP46" s="716"/>
      <c r="FQ46" s="716"/>
      <c r="FR46" s="716"/>
      <c r="FS46" s="716"/>
      <c r="FT46" s="716"/>
      <c r="FU46" s="716"/>
      <c r="FV46" s="716"/>
      <c r="FW46" s="716"/>
      <c r="FX46" s="716"/>
      <c r="FY46" s="716"/>
      <c r="FZ46" s="716"/>
      <c r="GA46" s="716"/>
    </row>
    <row r="47" spans="2:183" ht="14.25" customHeight="1" x14ac:dyDescent="0.3">
      <c r="C47" s="756"/>
      <c r="D47" s="756"/>
      <c r="E47" s="756"/>
      <c r="F47" s="756"/>
      <c r="G47" s="756"/>
      <c r="H47" s="756"/>
      <c r="I47" s="756"/>
      <c r="AG47" s="716"/>
      <c r="AH47" s="716"/>
      <c r="AI47" s="716"/>
      <c r="AJ47" s="716"/>
      <c r="AK47" s="716"/>
      <c r="AL47" s="716"/>
      <c r="AM47" s="716"/>
      <c r="AN47" s="716"/>
      <c r="AO47" s="716"/>
      <c r="AP47" s="716"/>
      <c r="AQ47" s="716"/>
      <c r="AR47" s="716"/>
      <c r="AS47" s="716"/>
      <c r="AT47" s="716"/>
      <c r="AU47" s="716"/>
      <c r="AV47" s="716"/>
      <c r="AW47" s="716"/>
      <c r="AX47" s="716"/>
      <c r="AY47" s="716"/>
      <c r="AZ47" s="716"/>
      <c r="BA47" s="716"/>
      <c r="BB47" s="716"/>
      <c r="BC47" s="716"/>
      <c r="BD47" s="716"/>
      <c r="BE47" s="716"/>
      <c r="BF47" s="716"/>
      <c r="BG47" s="716"/>
      <c r="BH47" s="716"/>
      <c r="BI47" s="716"/>
      <c r="BJ47" s="716"/>
      <c r="BK47" s="716"/>
      <c r="BL47" s="716"/>
      <c r="BM47" s="716"/>
      <c r="BN47" s="716"/>
      <c r="BO47" s="716"/>
      <c r="BP47" s="716"/>
      <c r="BQ47" s="716"/>
      <c r="BR47" s="716"/>
      <c r="BS47" s="716"/>
      <c r="BT47" s="716"/>
      <c r="BU47" s="716"/>
      <c r="BV47" s="716"/>
      <c r="BW47" s="716"/>
      <c r="BX47" s="716"/>
      <c r="BY47" s="716"/>
      <c r="BZ47" s="716"/>
      <c r="CA47" s="716"/>
      <c r="CB47" s="716"/>
      <c r="CC47" s="716"/>
      <c r="CD47" s="716"/>
      <c r="CE47" s="716"/>
      <c r="CF47" s="716"/>
      <c r="CG47" s="716"/>
      <c r="CH47" s="716"/>
      <c r="CI47" s="716"/>
      <c r="CJ47" s="716"/>
      <c r="CK47" s="716"/>
      <c r="CL47" s="716"/>
      <c r="CM47" s="716"/>
      <c r="CN47" s="716"/>
      <c r="CO47" s="716"/>
      <c r="CP47" s="716"/>
      <c r="CQ47" s="716"/>
      <c r="CR47" s="716"/>
      <c r="CS47" s="716"/>
      <c r="CT47" s="716"/>
      <c r="CU47" s="716"/>
      <c r="CV47" s="716"/>
      <c r="CW47" s="716"/>
      <c r="CX47" s="716"/>
      <c r="CY47" s="716"/>
      <c r="CZ47" s="716"/>
      <c r="DA47" s="716"/>
      <c r="DB47" s="716"/>
      <c r="DC47" s="716"/>
      <c r="DD47" s="716"/>
      <c r="DE47" s="716"/>
      <c r="DF47" s="716"/>
      <c r="DG47" s="716"/>
      <c r="DH47" s="716"/>
      <c r="DI47" s="716"/>
      <c r="DJ47" s="716"/>
      <c r="DK47" s="716"/>
      <c r="DL47" s="716"/>
      <c r="DM47" s="716"/>
      <c r="DN47" s="716"/>
      <c r="DO47" s="716"/>
      <c r="DP47" s="716"/>
      <c r="DQ47" s="716"/>
      <c r="DR47" s="716"/>
      <c r="DS47" s="716"/>
      <c r="DT47" s="716"/>
      <c r="DU47" s="716"/>
      <c r="DV47" s="716"/>
      <c r="DW47" s="716"/>
      <c r="DX47" s="716"/>
      <c r="DY47" s="716"/>
      <c r="DZ47" s="716"/>
      <c r="EA47" s="716"/>
      <c r="EB47" s="716"/>
      <c r="EC47" s="716"/>
      <c r="ED47" s="716"/>
      <c r="EE47" s="716"/>
      <c r="EF47" s="716"/>
      <c r="EG47" s="716"/>
      <c r="EH47" s="716"/>
      <c r="EI47" s="716"/>
      <c r="EJ47" s="716"/>
      <c r="EK47" s="716"/>
      <c r="EL47" s="716"/>
      <c r="EM47" s="716"/>
      <c r="EN47" s="716"/>
      <c r="EO47" s="716"/>
      <c r="EP47" s="716"/>
      <c r="EQ47" s="716"/>
      <c r="ER47" s="716"/>
      <c r="ES47" s="716"/>
      <c r="ET47" s="716"/>
      <c r="EU47" s="716"/>
      <c r="EV47" s="716"/>
      <c r="EW47" s="716"/>
      <c r="EX47" s="716"/>
      <c r="EY47" s="716"/>
      <c r="EZ47" s="716"/>
      <c r="FA47" s="716"/>
      <c r="FB47" s="716"/>
      <c r="FC47" s="716"/>
      <c r="FD47" s="716"/>
      <c r="FE47" s="716"/>
      <c r="FF47" s="716"/>
      <c r="FG47" s="716"/>
      <c r="FH47" s="716"/>
      <c r="FI47" s="716"/>
      <c r="FJ47" s="716"/>
      <c r="FK47" s="716"/>
      <c r="FL47" s="716"/>
      <c r="FM47" s="716"/>
      <c r="FN47" s="716"/>
      <c r="FO47" s="716"/>
      <c r="FP47" s="716"/>
      <c r="FQ47" s="716"/>
      <c r="FR47" s="716"/>
      <c r="FS47" s="716"/>
      <c r="FT47" s="716"/>
      <c r="FU47" s="716"/>
      <c r="FV47" s="716"/>
      <c r="FW47" s="716"/>
      <c r="FX47" s="716"/>
      <c r="FY47" s="716"/>
      <c r="FZ47" s="716"/>
      <c r="GA47" s="716"/>
    </row>
    <row r="48" spans="2:183" ht="14.25" customHeight="1" x14ac:dyDescent="0.3">
      <c r="C48" s="1402" t="s">
        <v>605</v>
      </c>
      <c r="D48" s="1402"/>
      <c r="E48" s="1403" t="str">
        <f>IF(C15="","",C15)</f>
        <v/>
      </c>
      <c r="F48" s="1403"/>
      <c r="G48" s="1403"/>
      <c r="H48" s="1403"/>
      <c r="I48" s="756"/>
      <c r="AG48" s="716"/>
      <c r="AH48" s="716"/>
      <c r="AI48" s="716"/>
      <c r="AJ48" s="716"/>
      <c r="AK48" s="716"/>
      <c r="AL48" s="716"/>
      <c r="AM48" s="716"/>
      <c r="AN48" s="716"/>
      <c r="AO48" s="716"/>
      <c r="AP48" s="716"/>
      <c r="AQ48" s="716"/>
      <c r="AR48" s="716"/>
      <c r="AS48" s="716"/>
      <c r="AT48" s="716"/>
      <c r="AU48" s="716"/>
      <c r="AV48" s="716"/>
      <c r="AW48" s="716"/>
      <c r="AX48" s="716"/>
      <c r="AY48" s="716"/>
      <c r="AZ48" s="716"/>
      <c r="BA48" s="716"/>
      <c r="BB48" s="716"/>
      <c r="BC48" s="716"/>
      <c r="BD48" s="716"/>
      <c r="BE48" s="716"/>
      <c r="BF48" s="716"/>
      <c r="BG48" s="716"/>
      <c r="BH48" s="716"/>
      <c r="BI48" s="716"/>
      <c r="BJ48" s="716"/>
      <c r="BK48" s="716"/>
      <c r="BL48" s="716"/>
      <c r="BM48" s="716"/>
      <c r="BN48" s="716"/>
      <c r="BO48" s="716"/>
      <c r="BP48" s="716"/>
      <c r="BQ48" s="716"/>
      <c r="BR48" s="716"/>
      <c r="BS48" s="716"/>
      <c r="BT48" s="716"/>
      <c r="BU48" s="716"/>
      <c r="BV48" s="716"/>
      <c r="BW48" s="716"/>
      <c r="BX48" s="716"/>
      <c r="BY48" s="716"/>
      <c r="BZ48" s="716"/>
      <c r="CA48" s="716"/>
      <c r="CB48" s="716"/>
      <c r="CC48" s="716"/>
      <c r="CD48" s="716"/>
      <c r="CE48" s="716"/>
      <c r="CF48" s="716"/>
      <c r="CG48" s="716"/>
      <c r="CH48" s="716"/>
      <c r="CI48" s="716"/>
      <c r="CJ48" s="716"/>
      <c r="CK48" s="716"/>
      <c r="CL48" s="716"/>
      <c r="CM48" s="716"/>
      <c r="CN48" s="716"/>
      <c r="CO48" s="716"/>
      <c r="CP48" s="716"/>
      <c r="CQ48" s="716"/>
      <c r="CR48" s="716"/>
      <c r="CS48" s="716"/>
      <c r="CT48" s="716"/>
      <c r="CU48" s="716"/>
      <c r="CV48" s="716"/>
      <c r="CW48" s="716"/>
      <c r="CX48" s="716"/>
      <c r="CY48" s="716"/>
      <c r="CZ48" s="716"/>
      <c r="DA48" s="716"/>
      <c r="DB48" s="716"/>
      <c r="DC48" s="716"/>
      <c r="DD48" s="716"/>
      <c r="DE48" s="716"/>
      <c r="DF48" s="716"/>
      <c r="DG48" s="716"/>
      <c r="DH48" s="716"/>
      <c r="DI48" s="716"/>
      <c r="DJ48" s="716"/>
      <c r="DK48" s="716"/>
      <c r="DL48" s="716"/>
      <c r="DM48" s="716"/>
      <c r="DN48" s="716"/>
      <c r="DO48" s="716"/>
      <c r="DP48" s="716"/>
      <c r="DQ48" s="716"/>
      <c r="DR48" s="716"/>
      <c r="DS48" s="716"/>
      <c r="DT48" s="716"/>
      <c r="DU48" s="716"/>
      <c r="DV48" s="716"/>
      <c r="DW48" s="716"/>
      <c r="DX48" s="716"/>
      <c r="DY48" s="716"/>
      <c r="DZ48" s="716"/>
      <c r="EA48" s="716"/>
      <c r="EB48" s="716"/>
      <c r="EC48" s="716"/>
      <c r="ED48" s="716"/>
      <c r="EE48" s="716"/>
      <c r="EF48" s="716"/>
      <c r="EG48" s="716"/>
      <c r="EH48" s="716"/>
      <c r="EI48" s="716"/>
      <c r="EJ48" s="716"/>
      <c r="EK48" s="716"/>
      <c r="EL48" s="716"/>
      <c r="EM48" s="716"/>
      <c r="EN48" s="716"/>
      <c r="EO48" s="716"/>
      <c r="EP48" s="716"/>
      <c r="EQ48" s="716"/>
      <c r="ER48" s="716"/>
      <c r="ES48" s="716"/>
      <c r="ET48" s="716"/>
      <c r="EU48" s="716"/>
      <c r="EV48" s="716"/>
      <c r="EW48" s="716"/>
      <c r="EX48" s="716"/>
      <c r="EY48" s="716"/>
      <c r="EZ48" s="716"/>
      <c r="FA48" s="716"/>
      <c r="FB48" s="716"/>
      <c r="FC48" s="716"/>
      <c r="FD48" s="716"/>
      <c r="FE48" s="716"/>
      <c r="FF48" s="716"/>
      <c r="FG48" s="716"/>
      <c r="FH48" s="716"/>
      <c r="FI48" s="716"/>
      <c r="FJ48" s="716"/>
      <c r="FK48" s="716"/>
      <c r="FL48" s="716"/>
      <c r="FM48" s="716"/>
      <c r="FN48" s="716"/>
      <c r="FO48" s="716"/>
      <c r="FP48" s="716"/>
      <c r="FQ48" s="716"/>
      <c r="FR48" s="716"/>
      <c r="FS48" s="716"/>
      <c r="FT48" s="716"/>
      <c r="FU48" s="716"/>
      <c r="FV48" s="716"/>
      <c r="FW48" s="716"/>
      <c r="FX48" s="716"/>
      <c r="FY48" s="716"/>
      <c r="FZ48" s="716"/>
      <c r="GA48" s="716"/>
    </row>
    <row r="49" spans="2:183" ht="19.95" customHeight="1" x14ac:dyDescent="0.3">
      <c r="B49" s="721" t="s">
        <v>572</v>
      </c>
      <c r="C49" s="757"/>
      <c r="D49" s="757"/>
      <c r="E49" s="757"/>
      <c r="F49" s="757"/>
      <c r="G49" s="757"/>
      <c r="H49" s="758"/>
      <c r="I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6"/>
      <c r="BE49" s="716"/>
      <c r="BF49" s="716"/>
      <c r="BG49" s="716"/>
      <c r="BH49" s="716"/>
      <c r="BI49" s="716"/>
      <c r="BJ49" s="716"/>
      <c r="BK49" s="716"/>
      <c r="BL49" s="716"/>
      <c r="BM49" s="716"/>
      <c r="BN49" s="716"/>
      <c r="BO49" s="716"/>
      <c r="BP49" s="716"/>
      <c r="BQ49" s="716"/>
      <c r="BR49" s="716"/>
      <c r="BS49" s="716"/>
      <c r="BT49" s="716"/>
      <c r="BU49" s="716"/>
      <c r="BV49" s="716"/>
      <c r="BW49" s="716"/>
      <c r="BX49" s="716"/>
      <c r="BY49" s="716"/>
      <c r="BZ49" s="716"/>
      <c r="CA49" s="716"/>
      <c r="CB49" s="716"/>
      <c r="CC49" s="716"/>
      <c r="CD49" s="716"/>
      <c r="CE49" s="716"/>
      <c r="CF49" s="716"/>
      <c r="CG49" s="716"/>
      <c r="CH49" s="716"/>
      <c r="CI49" s="716"/>
      <c r="CJ49" s="716"/>
      <c r="CK49" s="716"/>
      <c r="CL49" s="716"/>
      <c r="CM49" s="716"/>
      <c r="CN49" s="716"/>
      <c r="CO49" s="716"/>
      <c r="CP49" s="716"/>
      <c r="CQ49" s="716"/>
      <c r="CR49" s="716"/>
      <c r="CS49" s="716"/>
      <c r="CT49" s="716"/>
      <c r="CU49" s="716"/>
      <c r="CV49" s="716"/>
      <c r="CW49" s="716"/>
      <c r="CX49" s="716"/>
      <c r="CY49" s="716"/>
      <c r="CZ49" s="716"/>
      <c r="DA49" s="716"/>
      <c r="DB49" s="716"/>
      <c r="DC49" s="716"/>
      <c r="DD49" s="716"/>
      <c r="DE49" s="716"/>
      <c r="DF49" s="716"/>
      <c r="DG49" s="716"/>
      <c r="DH49" s="716"/>
      <c r="DI49" s="716"/>
      <c r="DJ49" s="716"/>
      <c r="DK49" s="716"/>
      <c r="DL49" s="716"/>
      <c r="DM49" s="716"/>
      <c r="DN49" s="716"/>
      <c r="DO49" s="716"/>
      <c r="DP49" s="716"/>
      <c r="DQ49" s="716"/>
      <c r="DR49" s="716"/>
      <c r="DS49" s="716"/>
      <c r="DT49" s="716"/>
      <c r="DU49" s="716"/>
      <c r="DV49" s="716"/>
      <c r="DW49" s="716"/>
      <c r="DX49" s="716"/>
      <c r="DY49" s="716"/>
      <c r="DZ49" s="716"/>
      <c r="EA49" s="716"/>
      <c r="EB49" s="716"/>
      <c r="EC49" s="716"/>
      <c r="ED49" s="716"/>
      <c r="EE49" s="716"/>
      <c r="EF49" s="716"/>
      <c r="EG49" s="716"/>
      <c r="EH49" s="716"/>
      <c r="EI49" s="716"/>
      <c r="EJ49" s="716"/>
      <c r="EK49" s="716"/>
      <c r="EL49" s="716"/>
      <c r="EM49" s="716"/>
      <c r="EN49" s="716"/>
      <c r="EO49" s="716"/>
      <c r="EP49" s="716"/>
      <c r="EQ49" s="716"/>
      <c r="ER49" s="716"/>
      <c r="ES49" s="716"/>
      <c r="ET49" s="716"/>
      <c r="EU49" s="716"/>
      <c r="EV49" s="716"/>
      <c r="EW49" s="716"/>
      <c r="EX49" s="716"/>
      <c r="EY49" s="716"/>
      <c r="EZ49" s="716"/>
      <c r="FA49" s="716"/>
      <c r="FB49" s="716"/>
      <c r="FC49" s="716"/>
      <c r="FD49" s="716"/>
      <c r="FE49" s="716"/>
      <c r="FF49" s="716"/>
      <c r="FG49" s="716"/>
      <c r="FH49" s="716"/>
      <c r="FI49" s="716"/>
      <c r="FJ49" s="716"/>
      <c r="FK49" s="716"/>
      <c r="FL49" s="716"/>
      <c r="FM49" s="716"/>
      <c r="FN49" s="716"/>
      <c r="FO49" s="716"/>
      <c r="FP49" s="716"/>
      <c r="FQ49" s="716"/>
      <c r="FR49" s="716"/>
      <c r="FS49" s="716"/>
      <c r="FT49" s="716"/>
      <c r="FU49" s="716"/>
      <c r="FV49" s="716"/>
      <c r="FW49" s="716"/>
      <c r="FX49" s="716"/>
      <c r="FY49" s="716"/>
      <c r="FZ49" s="716"/>
      <c r="GA49" s="716"/>
    </row>
    <row r="50" spans="2:183" ht="19.95" customHeight="1" x14ac:dyDescent="0.3">
      <c r="B50" s="721" t="s">
        <v>573</v>
      </c>
      <c r="C50" s="1432"/>
      <c r="D50" s="1433"/>
      <c r="E50" s="1433"/>
      <c r="F50" s="1433"/>
      <c r="G50" s="1433"/>
      <c r="H50" s="1434"/>
      <c r="I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716"/>
      <c r="BU50" s="716"/>
      <c r="BV50" s="716"/>
      <c r="BW50" s="716"/>
      <c r="BX50" s="716"/>
      <c r="BY50" s="716"/>
      <c r="BZ50" s="716"/>
      <c r="CA50" s="716"/>
      <c r="CB50" s="716"/>
      <c r="CC50" s="716"/>
      <c r="CD50" s="716"/>
      <c r="CE50" s="716"/>
      <c r="CF50" s="716"/>
      <c r="CG50" s="716"/>
      <c r="CH50" s="716"/>
      <c r="CI50" s="716"/>
      <c r="CJ50" s="716"/>
      <c r="CK50" s="716"/>
      <c r="CL50" s="716"/>
      <c r="CM50" s="716"/>
      <c r="CN50" s="716"/>
      <c r="CO50" s="716"/>
      <c r="CP50" s="716"/>
      <c r="CQ50" s="716"/>
      <c r="CR50" s="716"/>
      <c r="CS50" s="716"/>
      <c r="CT50" s="716"/>
      <c r="CU50" s="716"/>
      <c r="CV50" s="716"/>
      <c r="CW50" s="716"/>
      <c r="CX50" s="716"/>
      <c r="CY50" s="716"/>
      <c r="CZ50" s="716"/>
      <c r="DA50" s="716"/>
      <c r="DB50" s="716"/>
      <c r="DC50" s="716"/>
      <c r="DD50" s="716"/>
      <c r="DE50" s="716"/>
      <c r="DF50" s="716"/>
      <c r="DG50" s="716"/>
      <c r="DH50" s="716"/>
      <c r="DI50" s="716"/>
      <c r="DJ50" s="716"/>
      <c r="DK50" s="716"/>
      <c r="DL50" s="716"/>
      <c r="DM50" s="716"/>
      <c r="DN50" s="716"/>
      <c r="DO50" s="716"/>
      <c r="DP50" s="716"/>
      <c r="DQ50" s="716"/>
      <c r="DR50" s="716"/>
      <c r="DS50" s="716"/>
      <c r="DT50" s="716"/>
      <c r="DU50" s="716"/>
      <c r="DV50" s="716"/>
      <c r="DW50" s="716"/>
      <c r="DX50" s="716"/>
      <c r="DY50" s="716"/>
      <c r="DZ50" s="716"/>
      <c r="EA50" s="716"/>
      <c r="EB50" s="716"/>
      <c r="EC50" s="716"/>
      <c r="ED50" s="716"/>
      <c r="EE50" s="716"/>
      <c r="EF50" s="716"/>
      <c r="EG50" s="716"/>
      <c r="EH50" s="716"/>
      <c r="EI50" s="716"/>
      <c r="EJ50" s="716"/>
      <c r="EK50" s="716"/>
      <c r="EL50" s="716"/>
      <c r="EM50" s="716"/>
      <c r="EN50" s="716"/>
      <c r="EO50" s="716"/>
      <c r="EP50" s="716"/>
      <c r="EQ50" s="716"/>
      <c r="ER50" s="716"/>
      <c r="ES50" s="716"/>
      <c r="ET50" s="716"/>
      <c r="EU50" s="716"/>
      <c r="EV50" s="716"/>
      <c r="EW50" s="716"/>
      <c r="EX50" s="716"/>
      <c r="EY50" s="716"/>
      <c r="EZ50" s="716"/>
      <c r="FA50" s="716"/>
      <c r="FB50" s="716"/>
      <c r="FC50" s="716"/>
      <c r="FD50" s="716"/>
      <c r="FE50" s="716"/>
      <c r="FF50" s="716"/>
      <c r="FG50" s="716"/>
      <c r="FH50" s="716"/>
      <c r="FI50" s="716"/>
      <c r="FJ50" s="716"/>
      <c r="FK50" s="716"/>
      <c r="FL50" s="716"/>
      <c r="FM50" s="716"/>
      <c r="FN50" s="716"/>
      <c r="FO50" s="716"/>
      <c r="FP50" s="716"/>
      <c r="FQ50" s="716"/>
      <c r="FR50" s="716"/>
      <c r="FS50" s="716"/>
      <c r="FT50" s="716"/>
      <c r="FU50" s="716"/>
      <c r="FV50" s="716"/>
      <c r="FW50" s="716"/>
      <c r="FX50" s="716"/>
      <c r="FY50" s="716"/>
      <c r="FZ50" s="716"/>
      <c r="GA50" s="716"/>
    </row>
    <row r="51" spans="2:183" ht="19.95" customHeight="1" x14ac:dyDescent="0.3">
      <c r="B51" s="720" t="s">
        <v>574</v>
      </c>
      <c r="C51" s="1432"/>
      <c r="D51" s="1433"/>
      <c r="E51" s="1433"/>
      <c r="F51" s="1433"/>
      <c r="G51" s="1433"/>
      <c r="H51" s="1434"/>
      <c r="I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6"/>
      <c r="BE51" s="716"/>
      <c r="BF51" s="716"/>
      <c r="BG51" s="716"/>
      <c r="BH51" s="716"/>
      <c r="BI51" s="716"/>
      <c r="BJ51" s="716"/>
      <c r="BK51" s="716"/>
      <c r="BL51" s="716"/>
      <c r="BM51" s="716"/>
      <c r="BN51" s="716"/>
      <c r="BO51" s="716"/>
      <c r="BP51" s="716"/>
      <c r="BQ51" s="716"/>
      <c r="BR51" s="716"/>
      <c r="BS51" s="716"/>
      <c r="BT51" s="716"/>
      <c r="BU51" s="716"/>
      <c r="BV51" s="716"/>
      <c r="BW51" s="716"/>
      <c r="BX51" s="716"/>
      <c r="BY51" s="716"/>
      <c r="BZ51" s="716"/>
      <c r="CA51" s="716"/>
      <c r="CB51" s="716"/>
      <c r="CC51" s="716"/>
      <c r="CD51" s="716"/>
      <c r="CE51" s="716"/>
      <c r="CF51" s="716"/>
      <c r="CG51" s="716"/>
      <c r="CH51" s="716"/>
      <c r="CI51" s="716"/>
      <c r="CJ51" s="716"/>
      <c r="CK51" s="716"/>
      <c r="CL51" s="716"/>
      <c r="CM51" s="716"/>
      <c r="CN51" s="716"/>
      <c r="CO51" s="716"/>
      <c r="CP51" s="716"/>
      <c r="CQ51" s="716"/>
      <c r="CR51" s="716"/>
      <c r="CS51" s="716"/>
      <c r="CT51" s="716"/>
      <c r="CU51" s="716"/>
      <c r="CV51" s="716"/>
      <c r="CW51" s="716"/>
      <c r="CX51" s="716"/>
      <c r="CY51" s="716"/>
      <c r="CZ51" s="716"/>
      <c r="DA51" s="716"/>
      <c r="DB51" s="716"/>
      <c r="DC51" s="716"/>
      <c r="DD51" s="716"/>
      <c r="DE51" s="716"/>
      <c r="DF51" s="716"/>
      <c r="DG51" s="716"/>
      <c r="DH51" s="716"/>
      <c r="DI51" s="716"/>
      <c r="DJ51" s="716"/>
      <c r="DK51" s="716"/>
      <c r="DL51" s="716"/>
      <c r="DM51" s="716"/>
      <c r="DN51" s="716"/>
      <c r="DO51" s="716"/>
      <c r="DP51" s="716"/>
      <c r="DQ51" s="716"/>
      <c r="DR51" s="716"/>
      <c r="DS51" s="716"/>
      <c r="DT51" s="716"/>
      <c r="DU51" s="716"/>
      <c r="DV51" s="716"/>
      <c r="DW51" s="716"/>
      <c r="DX51" s="716"/>
      <c r="DY51" s="716"/>
      <c r="DZ51" s="716"/>
      <c r="EA51" s="716"/>
      <c r="EB51" s="716"/>
      <c r="EC51" s="716"/>
      <c r="ED51" s="716"/>
      <c r="EE51" s="716"/>
      <c r="EF51" s="716"/>
      <c r="EG51" s="716"/>
      <c r="EH51" s="716"/>
      <c r="EI51" s="716"/>
      <c r="EJ51" s="716"/>
      <c r="EK51" s="716"/>
      <c r="EL51" s="716"/>
      <c r="EM51" s="716"/>
      <c r="EN51" s="716"/>
      <c r="EO51" s="716"/>
      <c r="EP51" s="716"/>
      <c r="EQ51" s="716"/>
      <c r="ER51" s="716"/>
      <c r="ES51" s="716"/>
      <c r="ET51" s="716"/>
      <c r="EU51" s="716"/>
      <c r="EV51" s="716"/>
      <c r="EW51" s="716"/>
      <c r="EX51" s="716"/>
      <c r="EY51" s="716"/>
      <c r="EZ51" s="716"/>
      <c r="FA51" s="716"/>
      <c r="FB51" s="716"/>
      <c r="FC51" s="716"/>
      <c r="FD51" s="716"/>
      <c r="FE51" s="716"/>
      <c r="FF51" s="716"/>
      <c r="FG51" s="716"/>
      <c r="FH51" s="716"/>
      <c r="FI51" s="716"/>
      <c r="FJ51" s="716"/>
      <c r="FK51" s="716"/>
      <c r="FL51" s="716"/>
      <c r="FM51" s="716"/>
      <c r="FN51" s="716"/>
      <c r="FO51" s="716"/>
      <c r="FP51" s="716"/>
      <c r="FQ51" s="716"/>
      <c r="FR51" s="716"/>
      <c r="FS51" s="716"/>
      <c r="FT51" s="716"/>
      <c r="FU51" s="716"/>
      <c r="FV51" s="716"/>
      <c r="FW51" s="716"/>
      <c r="FX51" s="716"/>
      <c r="FY51" s="716"/>
      <c r="FZ51" s="716"/>
      <c r="GA51" s="716"/>
    </row>
    <row r="52" spans="2:183" x14ac:dyDescent="0.25">
      <c r="D52" s="759"/>
      <c r="I52" s="716"/>
      <c r="AG52" s="716"/>
      <c r="AH52" s="716"/>
      <c r="AI52" s="716"/>
      <c r="AJ52" s="716"/>
      <c r="AK52" s="716"/>
      <c r="AL52" s="716"/>
      <c r="AM52" s="716"/>
      <c r="AN52" s="1390" t="s">
        <v>653</v>
      </c>
      <c r="AO52" s="1391"/>
      <c r="AP52" s="1392"/>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c r="ED52" s="716"/>
      <c r="EE52" s="716"/>
      <c r="EF52" s="716"/>
      <c r="EG52" s="716"/>
      <c r="EH52" s="716"/>
      <c r="EI52" s="716"/>
      <c r="EJ52" s="716"/>
      <c r="EK52" s="716"/>
      <c r="EL52" s="716"/>
      <c r="EM52" s="716"/>
      <c r="EN52" s="716"/>
      <c r="EO52" s="716"/>
      <c r="EP52" s="716"/>
      <c r="EQ52" s="716"/>
      <c r="ER52" s="716"/>
      <c r="ES52" s="716"/>
      <c r="ET52" s="716"/>
      <c r="EU52" s="716"/>
      <c r="EV52" s="716"/>
      <c r="EW52" s="716"/>
      <c r="EX52" s="716"/>
      <c r="EY52" s="716"/>
      <c r="EZ52" s="716"/>
      <c r="FA52" s="716"/>
      <c r="FB52" s="716"/>
      <c r="FC52" s="716"/>
      <c r="FD52" s="716"/>
      <c r="FE52" s="716"/>
      <c r="FF52" s="716"/>
      <c r="FG52" s="716"/>
      <c r="FH52" s="716"/>
      <c r="FI52" s="716"/>
      <c r="FJ52" s="716"/>
      <c r="FK52" s="716"/>
      <c r="FL52" s="716"/>
      <c r="FM52" s="716"/>
      <c r="FN52" s="716"/>
      <c r="FO52" s="716"/>
      <c r="FP52" s="716"/>
      <c r="FQ52" s="716"/>
      <c r="FR52" s="716"/>
      <c r="FS52" s="716"/>
      <c r="FT52" s="716"/>
      <c r="FU52" s="716"/>
      <c r="FV52" s="716"/>
      <c r="FW52" s="716"/>
      <c r="FX52" s="716"/>
      <c r="FY52" s="716"/>
      <c r="FZ52" s="716"/>
      <c r="GA52" s="716"/>
    </row>
    <row r="53" spans="2:183" x14ac:dyDescent="0.25">
      <c r="B53" s="778" t="s">
        <v>575</v>
      </c>
      <c r="D53" s="759"/>
      <c r="I53" s="716"/>
      <c r="AG53" s="716"/>
      <c r="AH53" s="716"/>
      <c r="AI53" s="716"/>
      <c r="AJ53" s="716"/>
      <c r="AK53" s="716"/>
      <c r="AL53" s="716"/>
      <c r="AM53" s="716"/>
      <c r="AN53" s="1396"/>
      <c r="AO53" s="1010"/>
      <c r="AP53" s="1397"/>
      <c r="AQ53" s="716"/>
      <c r="AR53" s="716"/>
      <c r="AS53" s="716"/>
      <c r="AT53" s="716"/>
      <c r="AU53" s="716"/>
      <c r="AV53" s="716"/>
      <c r="AW53" s="716"/>
      <c r="AX53" s="716"/>
      <c r="AY53" s="716"/>
      <c r="AZ53" s="716"/>
      <c r="BA53" s="716"/>
      <c r="BB53" s="716"/>
      <c r="BC53" s="716"/>
      <c r="BD53" s="716"/>
      <c r="BE53" s="716"/>
      <c r="BF53" s="716"/>
      <c r="BG53" s="716"/>
      <c r="BH53" s="716"/>
      <c r="BI53" s="716"/>
      <c r="BJ53" s="716"/>
      <c r="BK53" s="716"/>
      <c r="BL53" s="716"/>
      <c r="BM53" s="716"/>
      <c r="BN53" s="716"/>
      <c r="BO53" s="716"/>
      <c r="BP53" s="716"/>
      <c r="BQ53" s="716"/>
      <c r="BR53" s="716"/>
      <c r="BS53" s="716"/>
      <c r="BT53" s="716"/>
      <c r="BU53" s="716"/>
      <c r="BV53" s="716"/>
      <c r="BW53" s="716"/>
      <c r="BX53" s="716"/>
      <c r="BY53" s="716"/>
      <c r="BZ53" s="716"/>
      <c r="CA53" s="716"/>
      <c r="CB53" s="716"/>
      <c r="CC53" s="716"/>
      <c r="CD53" s="716"/>
      <c r="CE53" s="716"/>
      <c r="CF53" s="716"/>
      <c r="CG53" s="716"/>
      <c r="CH53" s="716"/>
      <c r="CI53" s="716"/>
      <c r="CJ53" s="716"/>
      <c r="CK53" s="716"/>
      <c r="CL53" s="716"/>
      <c r="CM53" s="716"/>
      <c r="CN53" s="716"/>
      <c r="CO53" s="716"/>
      <c r="CP53" s="716"/>
      <c r="CQ53" s="716"/>
      <c r="CR53" s="716"/>
      <c r="CS53" s="716"/>
      <c r="CT53" s="716"/>
      <c r="CU53" s="716"/>
      <c r="CV53" s="716"/>
      <c r="CW53" s="716"/>
      <c r="CX53" s="716"/>
      <c r="CY53" s="716"/>
      <c r="CZ53" s="716"/>
      <c r="DA53" s="716"/>
      <c r="DB53" s="716"/>
      <c r="DC53" s="716"/>
      <c r="DD53" s="716"/>
      <c r="DE53" s="716"/>
      <c r="DF53" s="716"/>
      <c r="DG53" s="716"/>
      <c r="DH53" s="716"/>
      <c r="DI53" s="716"/>
      <c r="DJ53" s="716"/>
      <c r="DK53" s="716"/>
      <c r="DL53" s="716"/>
      <c r="DM53" s="716"/>
      <c r="DN53" s="716"/>
      <c r="DO53" s="716"/>
      <c r="DP53" s="716"/>
      <c r="DQ53" s="716"/>
      <c r="DR53" s="716"/>
      <c r="DS53" s="716"/>
      <c r="DT53" s="716"/>
      <c r="DU53" s="716"/>
      <c r="DV53" s="716"/>
      <c r="DW53" s="716"/>
      <c r="DX53" s="716"/>
      <c r="DY53" s="716"/>
      <c r="DZ53" s="716"/>
      <c r="EA53" s="716"/>
      <c r="EB53" s="716"/>
      <c r="EC53" s="716"/>
      <c r="ED53" s="716"/>
      <c r="EE53" s="716"/>
      <c r="EF53" s="716"/>
      <c r="EG53" s="716"/>
      <c r="EH53" s="716"/>
      <c r="EI53" s="716"/>
      <c r="EJ53" s="716"/>
      <c r="EK53" s="716"/>
      <c r="EL53" s="716"/>
      <c r="EM53" s="716"/>
      <c r="EN53" s="716"/>
      <c r="EO53" s="716"/>
      <c r="EP53" s="716"/>
      <c r="EQ53" s="716"/>
      <c r="ER53" s="716"/>
      <c r="ES53" s="716"/>
      <c r="ET53" s="716"/>
      <c r="EU53" s="716"/>
      <c r="EV53" s="716"/>
      <c r="EW53" s="716"/>
      <c r="EX53" s="716"/>
      <c r="EY53" s="716"/>
      <c r="EZ53" s="716"/>
      <c r="FA53" s="716"/>
      <c r="FB53" s="716"/>
      <c r="FC53" s="716"/>
      <c r="FD53" s="716"/>
      <c r="FE53" s="716"/>
      <c r="FF53" s="716"/>
      <c r="FG53" s="716"/>
      <c r="FH53" s="716"/>
      <c r="FI53" s="716"/>
      <c r="FJ53" s="716"/>
      <c r="FK53" s="716"/>
      <c r="FL53" s="716"/>
      <c r="FM53" s="716"/>
      <c r="FN53" s="716"/>
      <c r="FO53" s="716"/>
      <c r="FP53" s="716"/>
      <c r="FQ53" s="716"/>
      <c r="FR53" s="716"/>
      <c r="FS53" s="716"/>
      <c r="FT53" s="716"/>
      <c r="FU53" s="716"/>
      <c r="FV53" s="716"/>
      <c r="FW53" s="716"/>
      <c r="FX53" s="716"/>
      <c r="FY53" s="716"/>
      <c r="FZ53" s="716"/>
      <c r="GA53" s="716"/>
    </row>
    <row r="54" spans="2:183" x14ac:dyDescent="0.25">
      <c r="D54" s="759"/>
      <c r="I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c r="BC54" s="716"/>
      <c r="BD54" s="716"/>
      <c r="BE54" s="716"/>
      <c r="BF54" s="716"/>
      <c r="BG54" s="716"/>
      <c r="BH54" s="716"/>
      <c r="BI54" s="716"/>
      <c r="BJ54" s="716"/>
      <c r="BK54" s="716"/>
      <c r="BL54" s="716"/>
      <c r="BM54" s="716"/>
      <c r="BN54" s="716"/>
      <c r="BO54" s="716"/>
      <c r="BP54" s="716"/>
      <c r="BQ54" s="716"/>
      <c r="BR54" s="716"/>
      <c r="BS54" s="716"/>
      <c r="BT54" s="716"/>
      <c r="BU54" s="716"/>
      <c r="BV54" s="716"/>
      <c r="BW54" s="716"/>
      <c r="BX54" s="716"/>
      <c r="BY54" s="716"/>
      <c r="BZ54" s="716"/>
      <c r="CA54" s="716"/>
      <c r="CB54" s="716"/>
      <c r="CC54" s="716"/>
      <c r="CD54" s="716"/>
      <c r="CE54" s="716"/>
      <c r="CF54" s="716"/>
      <c r="CG54" s="716"/>
      <c r="CH54" s="716"/>
      <c r="CI54" s="716"/>
      <c r="CJ54" s="716"/>
      <c r="CK54" s="716"/>
      <c r="CL54" s="716"/>
      <c r="CM54" s="716"/>
      <c r="CN54" s="716"/>
      <c r="CO54" s="716"/>
      <c r="CP54" s="716"/>
      <c r="CQ54" s="716"/>
      <c r="CR54" s="716"/>
      <c r="CS54" s="716"/>
      <c r="CT54" s="716"/>
      <c r="CU54" s="716"/>
      <c r="CV54" s="716"/>
      <c r="CW54" s="716"/>
      <c r="CX54" s="716"/>
      <c r="CY54" s="716"/>
      <c r="CZ54" s="716"/>
      <c r="DA54" s="716"/>
      <c r="DB54" s="716"/>
      <c r="DC54" s="716"/>
      <c r="DD54" s="716"/>
      <c r="DE54" s="716"/>
      <c r="DF54" s="716"/>
      <c r="DG54" s="716"/>
      <c r="DH54" s="716"/>
      <c r="DI54" s="716"/>
      <c r="DJ54" s="716"/>
      <c r="DK54" s="716"/>
      <c r="DL54" s="716"/>
      <c r="DM54" s="716"/>
      <c r="DN54" s="716"/>
      <c r="DO54" s="716"/>
      <c r="DP54" s="716"/>
      <c r="DQ54" s="716"/>
      <c r="DR54" s="716"/>
      <c r="DS54" s="716"/>
      <c r="DT54" s="716"/>
      <c r="DU54" s="716"/>
      <c r="DV54" s="716"/>
      <c r="DW54" s="716"/>
      <c r="DX54" s="716"/>
      <c r="DY54" s="716"/>
      <c r="DZ54" s="716"/>
      <c r="EA54" s="716"/>
      <c r="EB54" s="716"/>
      <c r="EC54" s="716"/>
      <c r="ED54" s="716"/>
      <c r="EE54" s="716"/>
      <c r="EF54" s="716"/>
      <c r="EG54" s="716"/>
      <c r="EH54" s="716"/>
      <c r="EI54" s="716"/>
      <c r="EJ54" s="716"/>
      <c r="EK54" s="716"/>
      <c r="EL54" s="716"/>
      <c r="EM54" s="716"/>
      <c r="EN54" s="716"/>
      <c r="EO54" s="716"/>
      <c r="EP54" s="716"/>
      <c r="EQ54" s="716"/>
      <c r="ER54" s="716"/>
      <c r="ES54" s="716"/>
      <c r="ET54" s="716"/>
      <c r="EU54" s="716"/>
      <c r="EV54" s="716"/>
      <c r="EW54" s="716"/>
      <c r="EX54" s="716"/>
      <c r="EY54" s="716"/>
      <c r="EZ54" s="716"/>
      <c r="FA54" s="716"/>
      <c r="FB54" s="716"/>
      <c r="FC54" s="716"/>
      <c r="FD54" s="716"/>
      <c r="FE54" s="716"/>
      <c r="FF54" s="716"/>
      <c r="FG54" s="716"/>
      <c r="FH54" s="716"/>
      <c r="FI54" s="716"/>
      <c r="FJ54" s="716"/>
      <c r="FK54" s="716"/>
      <c r="FL54" s="716"/>
      <c r="FM54" s="716"/>
      <c r="FN54" s="716"/>
      <c r="FO54" s="716"/>
      <c r="FP54" s="716"/>
      <c r="FQ54" s="716"/>
      <c r="FR54" s="716"/>
      <c r="FS54" s="716"/>
      <c r="FT54" s="716"/>
      <c r="FU54" s="716"/>
      <c r="FV54" s="716"/>
      <c r="FW54" s="716"/>
      <c r="FX54" s="716"/>
      <c r="FY54" s="716"/>
      <c r="FZ54" s="716"/>
      <c r="GA54" s="716"/>
    </row>
    <row r="55" spans="2:183" x14ac:dyDescent="0.25">
      <c r="D55" s="759"/>
      <c r="I55" s="716"/>
      <c r="AG55" s="716"/>
      <c r="AH55" s="716"/>
      <c r="AI55" s="716"/>
      <c r="AJ55" s="716"/>
      <c r="AK55" s="716"/>
      <c r="AL55" s="716"/>
      <c r="AM55" s="716"/>
      <c r="AN55" s="716"/>
      <c r="AO55" s="716"/>
      <c r="AP55" s="716"/>
      <c r="AQ55" s="716"/>
      <c r="AR55" s="716"/>
      <c r="AS55" s="716"/>
      <c r="AT55" s="716"/>
      <c r="AU55" s="716"/>
      <c r="AV55" s="716"/>
      <c r="AW55" s="716"/>
      <c r="AX55" s="716"/>
      <c r="AY55" s="716"/>
      <c r="AZ55" s="716"/>
      <c r="BA55" s="716"/>
      <c r="BB55" s="716"/>
      <c r="BC55" s="716"/>
      <c r="BD55" s="716"/>
      <c r="BE55" s="716"/>
      <c r="BF55" s="716"/>
      <c r="BG55" s="716"/>
      <c r="BH55" s="716"/>
      <c r="BI55" s="716"/>
      <c r="BJ55" s="716"/>
      <c r="BK55" s="716"/>
      <c r="BL55" s="716"/>
      <c r="BM55" s="716"/>
      <c r="BN55" s="716"/>
      <c r="BO55" s="716"/>
      <c r="BP55" s="716"/>
      <c r="BQ55" s="716"/>
      <c r="BR55" s="716"/>
      <c r="BS55" s="716"/>
      <c r="BT55" s="716"/>
      <c r="BU55" s="716"/>
      <c r="BV55" s="716"/>
      <c r="BW55" s="716"/>
      <c r="BX55" s="716"/>
      <c r="BY55" s="716"/>
      <c r="BZ55" s="716"/>
      <c r="CA55" s="716"/>
      <c r="CB55" s="716"/>
      <c r="CC55" s="716"/>
      <c r="CD55" s="716"/>
      <c r="CE55" s="716"/>
      <c r="CF55" s="716"/>
      <c r="CG55" s="716"/>
      <c r="CH55" s="716"/>
      <c r="CI55" s="716"/>
      <c r="CJ55" s="716"/>
      <c r="CK55" s="716"/>
      <c r="CL55" s="716"/>
      <c r="CM55" s="716"/>
      <c r="CN55" s="716"/>
      <c r="CO55" s="716"/>
      <c r="CP55" s="716"/>
      <c r="CQ55" s="716"/>
      <c r="CR55" s="716"/>
      <c r="CS55" s="716"/>
      <c r="CT55" s="716"/>
      <c r="CU55" s="716"/>
      <c r="CV55" s="716"/>
      <c r="CW55" s="716"/>
      <c r="CX55" s="716"/>
      <c r="CY55" s="716"/>
      <c r="CZ55" s="716"/>
      <c r="DA55" s="716"/>
      <c r="DB55" s="716"/>
      <c r="DC55" s="716"/>
      <c r="DD55" s="716"/>
      <c r="DE55" s="716"/>
      <c r="DF55" s="716"/>
      <c r="DG55" s="716"/>
      <c r="DH55" s="716"/>
      <c r="DI55" s="716"/>
      <c r="DJ55" s="716"/>
      <c r="DK55" s="716"/>
      <c r="DL55" s="716"/>
      <c r="DM55" s="716"/>
      <c r="DN55" s="716"/>
      <c r="DO55" s="716"/>
      <c r="DP55" s="716"/>
      <c r="DQ55" s="716"/>
      <c r="DR55" s="716"/>
      <c r="DS55" s="716"/>
      <c r="DT55" s="716"/>
      <c r="DU55" s="716"/>
      <c r="DV55" s="716"/>
      <c r="DW55" s="716"/>
      <c r="DX55" s="716"/>
      <c r="DY55" s="716"/>
      <c r="DZ55" s="716"/>
      <c r="EA55" s="716"/>
      <c r="EB55" s="716"/>
      <c r="EC55" s="716"/>
      <c r="ED55" s="716"/>
      <c r="EE55" s="716"/>
      <c r="EF55" s="716"/>
      <c r="EG55" s="716"/>
      <c r="EH55" s="716"/>
      <c r="EI55" s="716"/>
      <c r="EJ55" s="716"/>
      <c r="EK55" s="716"/>
      <c r="EL55" s="716"/>
      <c r="EM55" s="716"/>
      <c r="EN55" s="716"/>
      <c r="EO55" s="716"/>
      <c r="EP55" s="716"/>
      <c r="EQ55" s="716"/>
      <c r="ER55" s="716"/>
      <c r="ES55" s="716"/>
      <c r="ET55" s="716"/>
      <c r="EU55" s="716"/>
      <c r="EV55" s="716"/>
      <c r="EW55" s="716"/>
      <c r="EX55" s="716"/>
      <c r="EY55" s="716"/>
      <c r="EZ55" s="716"/>
      <c r="FA55" s="716"/>
      <c r="FB55" s="716"/>
      <c r="FC55" s="716"/>
      <c r="FD55" s="716"/>
      <c r="FE55" s="716"/>
      <c r="FF55" s="716"/>
      <c r="FG55" s="716"/>
      <c r="FH55" s="716"/>
      <c r="FI55" s="716"/>
      <c r="FJ55" s="716"/>
      <c r="FK55" s="716"/>
      <c r="FL55" s="716"/>
      <c r="FM55" s="716"/>
      <c r="FN55" s="716"/>
      <c r="FO55" s="716"/>
      <c r="FP55" s="716"/>
      <c r="FQ55" s="716"/>
      <c r="FR55" s="716"/>
      <c r="FS55" s="716"/>
      <c r="FT55" s="716"/>
      <c r="FU55" s="716"/>
      <c r="FV55" s="716"/>
      <c r="FW55" s="716"/>
      <c r="FX55" s="716"/>
      <c r="FY55" s="716"/>
      <c r="FZ55" s="716"/>
      <c r="GA55" s="716"/>
    </row>
    <row r="56" spans="2:183" x14ac:dyDescent="0.25">
      <c r="D56" s="759"/>
      <c r="I56" s="716"/>
      <c r="AG56" s="716"/>
      <c r="AH56" s="716"/>
      <c r="AI56" s="716"/>
      <c r="AJ56" s="716"/>
      <c r="AK56" s="716"/>
      <c r="AL56" s="716"/>
      <c r="AM56" s="716"/>
      <c r="AN56" s="1390" t="s">
        <v>658</v>
      </c>
      <c r="AO56" s="1391"/>
      <c r="AP56" s="1391"/>
      <c r="AQ56" s="1391"/>
      <c r="AR56" s="1391"/>
      <c r="AS56" s="1392"/>
      <c r="AT56" s="716"/>
      <c r="AU56" s="716"/>
      <c r="AV56" s="716"/>
      <c r="AW56" s="716"/>
      <c r="AX56" s="716"/>
      <c r="AY56" s="716"/>
      <c r="AZ56" s="716"/>
      <c r="BA56" s="716"/>
      <c r="BB56" s="716"/>
      <c r="BC56" s="716"/>
      <c r="BD56" s="716"/>
      <c r="BE56" s="716"/>
      <c r="BF56" s="716"/>
      <c r="BG56" s="716"/>
      <c r="BH56" s="716"/>
      <c r="BI56" s="716"/>
      <c r="BJ56" s="716"/>
      <c r="BK56" s="716"/>
      <c r="BL56" s="716"/>
      <c r="BM56" s="716"/>
      <c r="BN56" s="716"/>
      <c r="BO56" s="716"/>
      <c r="BP56" s="716"/>
      <c r="BQ56" s="716"/>
      <c r="BR56" s="716"/>
      <c r="BS56" s="716"/>
      <c r="BT56" s="716"/>
      <c r="BU56" s="716"/>
      <c r="BV56" s="716"/>
      <c r="BW56" s="716"/>
      <c r="BX56" s="716"/>
      <c r="BY56" s="716"/>
      <c r="BZ56" s="716"/>
      <c r="CA56" s="716"/>
      <c r="CB56" s="716"/>
      <c r="CC56" s="716"/>
      <c r="CD56" s="716"/>
      <c r="CE56" s="716"/>
      <c r="CF56" s="716"/>
      <c r="CG56" s="716"/>
      <c r="CH56" s="716"/>
      <c r="CI56" s="716"/>
      <c r="CJ56" s="716"/>
      <c r="CK56" s="716"/>
      <c r="CL56" s="716"/>
      <c r="CM56" s="716"/>
      <c r="CN56" s="716"/>
      <c r="CO56" s="716"/>
      <c r="CP56" s="716"/>
      <c r="CQ56" s="716"/>
      <c r="CR56" s="716"/>
      <c r="CS56" s="716"/>
      <c r="CT56" s="716"/>
      <c r="CU56" s="716"/>
      <c r="CV56" s="716"/>
      <c r="CW56" s="716"/>
      <c r="CX56" s="716"/>
      <c r="CY56" s="716"/>
      <c r="CZ56" s="716"/>
      <c r="DA56" s="716"/>
      <c r="DB56" s="716"/>
      <c r="DC56" s="716"/>
      <c r="DD56" s="716"/>
      <c r="DE56" s="716"/>
      <c r="DF56" s="716"/>
      <c r="DG56" s="716"/>
      <c r="DH56" s="716"/>
      <c r="DI56" s="716"/>
      <c r="DJ56" s="716"/>
      <c r="DK56" s="716"/>
      <c r="DL56" s="716"/>
      <c r="DM56" s="716"/>
      <c r="DN56" s="716"/>
      <c r="DO56" s="716"/>
      <c r="DP56" s="716"/>
      <c r="DQ56" s="716"/>
      <c r="DR56" s="716"/>
      <c r="DS56" s="716"/>
      <c r="DT56" s="716"/>
      <c r="DU56" s="716"/>
      <c r="DV56" s="716"/>
      <c r="DW56" s="716"/>
      <c r="DX56" s="716"/>
      <c r="DY56" s="716"/>
      <c r="DZ56" s="716"/>
      <c r="EA56" s="716"/>
      <c r="EB56" s="716"/>
      <c r="EC56" s="716"/>
      <c r="ED56" s="716"/>
      <c r="EE56" s="716"/>
      <c r="EF56" s="716"/>
      <c r="EG56" s="716"/>
      <c r="EH56" s="716"/>
      <c r="EI56" s="716"/>
      <c r="EJ56" s="716"/>
      <c r="EK56" s="716"/>
      <c r="EL56" s="716"/>
      <c r="EM56" s="716"/>
      <c r="EN56" s="716"/>
      <c r="EO56" s="716"/>
      <c r="EP56" s="716"/>
      <c r="EQ56" s="716"/>
      <c r="ER56" s="716"/>
      <c r="ES56" s="716"/>
      <c r="ET56" s="716"/>
      <c r="EU56" s="716"/>
      <c r="EV56" s="716"/>
      <c r="EW56" s="716"/>
      <c r="EX56" s="716"/>
      <c r="EY56" s="716"/>
      <c r="EZ56" s="716"/>
      <c r="FA56" s="716"/>
      <c r="FB56" s="716"/>
      <c r="FC56" s="716"/>
      <c r="FD56" s="716"/>
      <c r="FE56" s="716"/>
      <c r="FF56" s="716"/>
      <c r="FG56" s="716"/>
      <c r="FH56" s="716"/>
      <c r="FI56" s="716"/>
      <c r="FJ56" s="716"/>
      <c r="FK56" s="716"/>
      <c r="FL56" s="716"/>
      <c r="FM56" s="716"/>
      <c r="FN56" s="716"/>
      <c r="FO56" s="716"/>
      <c r="FP56" s="716"/>
      <c r="FQ56" s="716"/>
      <c r="FR56" s="716"/>
      <c r="FS56" s="716"/>
      <c r="FT56" s="716"/>
      <c r="FU56" s="716"/>
      <c r="FV56" s="716"/>
      <c r="FW56" s="716"/>
      <c r="FX56" s="716"/>
      <c r="FY56" s="716"/>
      <c r="FZ56" s="716"/>
      <c r="GA56" s="716"/>
    </row>
    <row r="57" spans="2:183" x14ac:dyDescent="0.25">
      <c r="D57" s="759"/>
      <c r="I57" s="716"/>
      <c r="AG57" s="716"/>
      <c r="AH57" s="716"/>
      <c r="AI57" s="716"/>
      <c r="AJ57" s="716"/>
      <c r="AK57" s="716"/>
      <c r="AL57" s="716"/>
      <c r="AM57" s="716"/>
      <c r="AN57" s="1393"/>
      <c r="AO57" s="1394"/>
      <c r="AP57" s="1394"/>
      <c r="AQ57" s="1394"/>
      <c r="AR57" s="1394"/>
      <c r="AS57" s="1395"/>
      <c r="AT57" s="716"/>
      <c r="AU57" s="716"/>
      <c r="AV57" s="716"/>
      <c r="AW57" s="716"/>
      <c r="AX57" s="716"/>
      <c r="AY57" s="716"/>
      <c r="AZ57" s="716"/>
      <c r="BA57" s="716"/>
      <c r="BB57" s="716"/>
      <c r="BC57" s="716"/>
      <c r="BD57" s="716"/>
      <c r="BE57" s="716"/>
      <c r="BF57" s="716"/>
      <c r="BG57" s="716"/>
      <c r="BH57" s="716"/>
      <c r="BI57" s="716"/>
      <c r="BJ57" s="716"/>
      <c r="BK57" s="716"/>
      <c r="BL57" s="716"/>
      <c r="BM57" s="716"/>
      <c r="BN57" s="716"/>
      <c r="BO57" s="716"/>
      <c r="BP57" s="716"/>
      <c r="BQ57" s="716"/>
      <c r="BR57" s="716"/>
      <c r="BS57" s="716"/>
      <c r="BT57" s="716"/>
      <c r="BU57" s="716"/>
      <c r="BV57" s="716"/>
      <c r="BW57" s="716"/>
      <c r="BX57" s="716"/>
      <c r="BY57" s="716"/>
      <c r="BZ57" s="716"/>
      <c r="CA57" s="716"/>
      <c r="CB57" s="716"/>
      <c r="CC57" s="716"/>
      <c r="CD57" s="716"/>
      <c r="CE57" s="716"/>
      <c r="CF57" s="716"/>
      <c r="CG57" s="716"/>
      <c r="CH57" s="716"/>
      <c r="CI57" s="716"/>
      <c r="CJ57" s="716"/>
      <c r="CK57" s="716"/>
      <c r="CL57" s="716"/>
      <c r="CM57" s="716"/>
      <c r="CN57" s="716"/>
      <c r="CO57" s="716"/>
      <c r="CP57" s="716"/>
      <c r="CQ57" s="716"/>
      <c r="CR57" s="716"/>
      <c r="CS57" s="716"/>
      <c r="CT57" s="716"/>
      <c r="CU57" s="716"/>
      <c r="CV57" s="716"/>
      <c r="CW57" s="716"/>
      <c r="CX57" s="716"/>
      <c r="CY57" s="716"/>
      <c r="CZ57" s="716"/>
      <c r="DA57" s="716"/>
      <c r="DB57" s="716"/>
      <c r="DC57" s="716"/>
      <c r="DD57" s="716"/>
      <c r="DE57" s="716"/>
      <c r="DF57" s="716"/>
      <c r="DG57" s="716"/>
      <c r="DH57" s="716"/>
      <c r="DI57" s="716"/>
      <c r="DJ57" s="716"/>
      <c r="DK57" s="716"/>
      <c r="DL57" s="716"/>
      <c r="DM57" s="716"/>
      <c r="DN57" s="716"/>
      <c r="DO57" s="716"/>
      <c r="DP57" s="716"/>
      <c r="DQ57" s="716"/>
      <c r="DR57" s="716"/>
      <c r="DS57" s="716"/>
      <c r="DT57" s="716"/>
      <c r="DU57" s="716"/>
      <c r="DV57" s="716"/>
      <c r="DW57" s="716"/>
      <c r="DX57" s="716"/>
      <c r="DY57" s="716"/>
      <c r="DZ57" s="716"/>
      <c r="EA57" s="716"/>
      <c r="EB57" s="716"/>
      <c r="EC57" s="716"/>
      <c r="ED57" s="716"/>
      <c r="EE57" s="716"/>
      <c r="EF57" s="716"/>
      <c r="EG57" s="716"/>
      <c r="EH57" s="716"/>
      <c r="EI57" s="716"/>
      <c r="EJ57" s="716"/>
      <c r="EK57" s="716"/>
      <c r="EL57" s="716"/>
      <c r="EM57" s="716"/>
      <c r="EN57" s="716"/>
      <c r="EO57" s="716"/>
      <c r="EP57" s="716"/>
      <c r="EQ57" s="716"/>
      <c r="ER57" s="716"/>
      <c r="ES57" s="716"/>
      <c r="ET57" s="716"/>
      <c r="EU57" s="716"/>
      <c r="EV57" s="716"/>
      <c r="EW57" s="716"/>
      <c r="EX57" s="716"/>
      <c r="EY57" s="716"/>
      <c r="EZ57" s="716"/>
      <c r="FA57" s="716"/>
      <c r="FB57" s="716"/>
      <c r="FC57" s="716"/>
      <c r="FD57" s="716"/>
      <c r="FE57" s="716"/>
      <c r="FF57" s="716"/>
      <c r="FG57" s="716"/>
      <c r="FH57" s="716"/>
      <c r="FI57" s="716"/>
      <c r="FJ57" s="716"/>
      <c r="FK57" s="716"/>
      <c r="FL57" s="716"/>
      <c r="FM57" s="716"/>
      <c r="FN57" s="716"/>
      <c r="FO57" s="716"/>
      <c r="FP57" s="716"/>
      <c r="FQ57" s="716"/>
      <c r="FR57" s="716"/>
      <c r="FS57" s="716"/>
      <c r="FT57" s="716"/>
      <c r="FU57" s="716"/>
      <c r="FV57" s="716"/>
      <c r="FW57" s="716"/>
      <c r="FX57" s="716"/>
      <c r="FY57" s="716"/>
      <c r="FZ57" s="716"/>
      <c r="GA57" s="716"/>
    </row>
    <row r="58" spans="2:183" x14ac:dyDescent="0.25">
      <c r="D58" s="759"/>
      <c r="I58" s="716"/>
      <c r="AG58" s="716"/>
      <c r="AH58" s="716"/>
      <c r="AI58" s="716"/>
      <c r="AJ58" s="716"/>
      <c r="AK58" s="716"/>
      <c r="AL58" s="716"/>
      <c r="AM58" s="716"/>
      <c r="AN58" s="1393"/>
      <c r="AO58" s="1394"/>
      <c r="AP58" s="1394"/>
      <c r="AQ58" s="1394"/>
      <c r="AR58" s="1394"/>
      <c r="AS58" s="1395"/>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c r="CA58" s="716"/>
      <c r="CB58" s="716"/>
      <c r="CC58" s="716"/>
      <c r="CD58" s="716"/>
      <c r="CE58" s="716"/>
      <c r="CF58" s="716"/>
      <c r="CG58" s="716"/>
      <c r="CH58" s="716"/>
      <c r="CI58" s="716"/>
      <c r="CJ58" s="716"/>
      <c r="CK58" s="716"/>
      <c r="CL58" s="716"/>
      <c r="CM58" s="716"/>
      <c r="CN58" s="716"/>
      <c r="CO58" s="716"/>
      <c r="CP58" s="716"/>
      <c r="CQ58" s="716"/>
      <c r="CR58" s="716"/>
      <c r="CS58" s="716"/>
      <c r="CT58" s="716"/>
      <c r="CU58" s="716"/>
      <c r="CV58" s="716"/>
      <c r="CW58" s="716"/>
      <c r="CX58" s="716"/>
      <c r="CY58" s="716"/>
      <c r="CZ58" s="716"/>
      <c r="DA58" s="716"/>
      <c r="DB58" s="716"/>
      <c r="DC58" s="716"/>
      <c r="DD58" s="716"/>
      <c r="DE58" s="716"/>
      <c r="DF58" s="716"/>
      <c r="DG58" s="716"/>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c r="ED58" s="716"/>
      <c r="EE58" s="716"/>
      <c r="EF58" s="716"/>
      <c r="EG58" s="716"/>
      <c r="EH58" s="716"/>
      <c r="EI58" s="716"/>
      <c r="EJ58" s="716"/>
      <c r="EK58" s="716"/>
      <c r="EL58" s="716"/>
      <c r="EM58" s="716"/>
      <c r="EN58" s="716"/>
      <c r="EO58" s="716"/>
      <c r="EP58" s="716"/>
      <c r="EQ58" s="716"/>
      <c r="ER58" s="716"/>
      <c r="ES58" s="716"/>
      <c r="ET58" s="716"/>
      <c r="EU58" s="716"/>
      <c r="EV58" s="716"/>
      <c r="EW58" s="716"/>
      <c r="EX58" s="716"/>
      <c r="EY58" s="716"/>
      <c r="EZ58" s="716"/>
      <c r="FA58" s="716"/>
      <c r="FB58" s="716"/>
      <c r="FC58" s="716"/>
      <c r="FD58" s="716"/>
      <c r="FE58" s="716"/>
      <c r="FF58" s="716"/>
      <c r="FG58" s="716"/>
      <c r="FH58" s="716"/>
      <c r="FI58" s="716"/>
      <c r="FJ58" s="716"/>
      <c r="FK58" s="716"/>
      <c r="FL58" s="716"/>
      <c r="FM58" s="716"/>
      <c r="FN58" s="716"/>
      <c r="FO58" s="716"/>
      <c r="FP58" s="716"/>
      <c r="FQ58" s="716"/>
      <c r="FR58" s="716"/>
      <c r="FS58" s="716"/>
      <c r="FT58" s="716"/>
      <c r="FU58" s="716"/>
      <c r="FV58" s="716"/>
      <c r="FW58" s="716"/>
      <c r="FX58" s="716"/>
      <c r="FY58" s="716"/>
      <c r="FZ58" s="716"/>
      <c r="GA58" s="716"/>
    </row>
    <row r="59" spans="2:183" ht="13.8" x14ac:dyDescent="0.25">
      <c r="B59" s="292" t="s">
        <v>576</v>
      </c>
      <c r="C59" s="1269"/>
      <c r="D59" s="1269"/>
      <c r="E59" s="1269"/>
      <c r="F59" s="1269"/>
      <c r="G59" s="1269"/>
      <c r="H59" s="1269"/>
      <c r="I59" s="879">
        <v>0</v>
      </c>
      <c r="AG59" s="716"/>
      <c r="AH59" s="716"/>
      <c r="AI59" s="716"/>
      <c r="AJ59" s="716"/>
      <c r="AK59" s="716"/>
      <c r="AL59" s="716"/>
      <c r="AM59" s="716"/>
      <c r="AN59" s="1393"/>
      <c r="AO59" s="1394"/>
      <c r="AP59" s="1394"/>
      <c r="AQ59" s="1394"/>
      <c r="AR59" s="1394"/>
      <c r="AS59" s="1395"/>
      <c r="AT59" s="716"/>
      <c r="AU59" s="716"/>
      <c r="AV59" s="716"/>
      <c r="AW59" s="716"/>
      <c r="AX59" s="716"/>
      <c r="AY59" s="716"/>
      <c r="AZ59" s="716"/>
      <c r="BA59" s="716"/>
      <c r="BB59" s="716"/>
      <c r="BC59" s="716"/>
      <c r="BD59" s="716"/>
      <c r="BE59" s="716"/>
      <c r="BF59" s="716"/>
      <c r="BG59" s="716"/>
      <c r="BH59" s="716"/>
      <c r="BI59" s="716"/>
      <c r="BJ59" s="716"/>
      <c r="BK59" s="716"/>
      <c r="BL59" s="716"/>
      <c r="BM59" s="716"/>
      <c r="BN59" s="716"/>
      <c r="BO59" s="716"/>
      <c r="BP59" s="716"/>
      <c r="BQ59" s="716"/>
      <c r="BR59" s="716"/>
      <c r="BS59" s="716"/>
      <c r="BT59" s="716"/>
      <c r="BU59" s="716"/>
      <c r="BV59" s="716"/>
      <c r="BW59" s="716"/>
      <c r="BX59" s="716"/>
      <c r="BY59" s="716"/>
      <c r="BZ59" s="716"/>
      <c r="CA59" s="716"/>
      <c r="CB59" s="716"/>
      <c r="CC59" s="716"/>
      <c r="CD59" s="716"/>
      <c r="CE59" s="716"/>
      <c r="CF59" s="716"/>
      <c r="CG59" s="716"/>
      <c r="CH59" s="716"/>
      <c r="CI59" s="716"/>
      <c r="CJ59" s="716"/>
      <c r="CK59" s="716"/>
      <c r="CL59" s="716"/>
      <c r="CM59" s="716"/>
      <c r="CN59" s="716"/>
      <c r="CO59" s="716"/>
      <c r="CP59" s="716"/>
      <c r="CQ59" s="716"/>
      <c r="CR59" s="716"/>
      <c r="CS59" s="716"/>
      <c r="CT59" s="716"/>
      <c r="CU59" s="716"/>
      <c r="CV59" s="716"/>
      <c r="CW59" s="716"/>
      <c r="CX59" s="716"/>
      <c r="CY59" s="716"/>
      <c r="CZ59" s="716"/>
      <c r="DA59" s="716"/>
      <c r="DB59" s="716"/>
      <c r="DC59" s="716"/>
      <c r="DD59" s="716"/>
      <c r="DE59" s="716"/>
      <c r="DF59" s="716"/>
      <c r="DG59" s="716"/>
      <c r="DH59" s="716"/>
      <c r="DI59" s="716"/>
      <c r="DJ59" s="716"/>
      <c r="DK59" s="716"/>
      <c r="DL59" s="716"/>
      <c r="DM59" s="716"/>
      <c r="DN59" s="716"/>
      <c r="DO59" s="716"/>
      <c r="DP59" s="716"/>
      <c r="DQ59" s="716"/>
      <c r="DR59" s="716"/>
      <c r="DS59" s="716"/>
      <c r="DT59" s="716"/>
      <c r="DU59" s="716"/>
      <c r="DV59" s="716"/>
      <c r="DW59" s="716"/>
      <c r="DX59" s="716"/>
      <c r="DY59" s="716"/>
      <c r="DZ59" s="716"/>
      <c r="EA59" s="716"/>
      <c r="EB59" s="716"/>
      <c r="EC59" s="716"/>
      <c r="ED59" s="716"/>
      <c r="EE59" s="716"/>
      <c r="EF59" s="716"/>
      <c r="EG59" s="716"/>
      <c r="EH59" s="716"/>
      <c r="EI59" s="716"/>
      <c r="EJ59" s="716"/>
      <c r="EK59" s="716"/>
      <c r="EL59" s="716"/>
      <c r="EM59" s="716"/>
      <c r="EN59" s="716"/>
      <c r="EO59" s="716"/>
      <c r="EP59" s="716"/>
      <c r="EQ59" s="716"/>
      <c r="ER59" s="716"/>
      <c r="ES59" s="716"/>
      <c r="ET59" s="716"/>
      <c r="EU59" s="716"/>
      <c r="EV59" s="716"/>
      <c r="EW59" s="716"/>
      <c r="EX59" s="716"/>
      <c r="EY59" s="716"/>
      <c r="EZ59" s="716"/>
      <c r="FA59" s="716"/>
      <c r="FB59" s="716"/>
      <c r="FC59" s="716"/>
      <c r="FD59" s="716"/>
      <c r="FE59" s="716"/>
      <c r="FF59" s="716"/>
      <c r="FG59" s="716"/>
      <c r="FH59" s="716"/>
      <c r="FI59" s="716"/>
      <c r="FJ59" s="716"/>
      <c r="FK59" s="716"/>
      <c r="FL59" s="716"/>
      <c r="FM59" s="716"/>
      <c r="FN59" s="716"/>
      <c r="FO59" s="716"/>
      <c r="FP59" s="716"/>
      <c r="FQ59" s="716"/>
      <c r="FR59" s="716"/>
      <c r="FS59" s="716"/>
      <c r="FT59" s="716"/>
      <c r="FU59" s="716"/>
      <c r="FV59" s="716"/>
      <c r="FW59" s="716"/>
      <c r="FX59" s="716"/>
      <c r="FY59" s="716"/>
      <c r="FZ59" s="716"/>
      <c r="GA59" s="716"/>
    </row>
    <row r="60" spans="2:183" x14ac:dyDescent="0.25">
      <c r="D60" s="759"/>
      <c r="I60" s="716"/>
      <c r="AG60" s="716"/>
      <c r="AH60" s="716"/>
      <c r="AI60" s="716"/>
      <c r="AJ60" s="716"/>
      <c r="AK60" s="716"/>
      <c r="AL60" s="716"/>
      <c r="AM60" s="716"/>
      <c r="AN60" s="1393"/>
      <c r="AO60" s="1394"/>
      <c r="AP60" s="1394"/>
      <c r="AQ60" s="1394"/>
      <c r="AR60" s="1394"/>
      <c r="AS60" s="1395"/>
      <c r="AT60" s="716"/>
      <c r="AU60" s="716"/>
      <c r="AV60" s="716"/>
      <c r="AW60" s="716"/>
      <c r="AX60" s="716"/>
      <c r="AY60" s="716"/>
      <c r="AZ60" s="716"/>
      <c r="BA60" s="716"/>
      <c r="BB60" s="716"/>
      <c r="BC60" s="716"/>
      <c r="BD60" s="716"/>
      <c r="BE60" s="716"/>
      <c r="BF60" s="716"/>
      <c r="BG60" s="716"/>
      <c r="BH60" s="716"/>
      <c r="BI60" s="716"/>
      <c r="BJ60" s="716"/>
      <c r="BK60" s="716"/>
      <c r="BL60" s="716"/>
      <c r="BM60" s="716"/>
      <c r="BN60" s="716"/>
      <c r="BO60" s="716"/>
      <c r="BP60" s="716"/>
      <c r="BQ60" s="716"/>
      <c r="BR60" s="716"/>
      <c r="BS60" s="716"/>
      <c r="BT60" s="716"/>
      <c r="BU60" s="716"/>
      <c r="BV60" s="716"/>
      <c r="BW60" s="716"/>
      <c r="BX60" s="716"/>
      <c r="BY60" s="716"/>
      <c r="BZ60" s="716"/>
      <c r="CA60" s="716"/>
      <c r="CB60" s="716"/>
      <c r="CC60" s="716"/>
      <c r="CD60" s="716"/>
      <c r="CE60" s="716"/>
      <c r="CF60" s="716"/>
      <c r="CG60" s="716"/>
      <c r="CH60" s="716"/>
      <c r="CI60" s="716"/>
      <c r="CJ60" s="716"/>
      <c r="CK60" s="716"/>
      <c r="CL60" s="716"/>
      <c r="CM60" s="716"/>
      <c r="CN60" s="716"/>
      <c r="CO60" s="716"/>
      <c r="CP60" s="716"/>
      <c r="CQ60" s="716"/>
      <c r="CR60" s="716"/>
      <c r="CS60" s="716"/>
      <c r="CT60" s="716"/>
      <c r="CU60" s="716"/>
      <c r="CV60" s="716"/>
      <c r="CW60" s="716"/>
      <c r="CX60" s="716"/>
      <c r="CY60" s="716"/>
      <c r="CZ60" s="716"/>
      <c r="DA60" s="716"/>
      <c r="DB60" s="716"/>
      <c r="DC60" s="716"/>
      <c r="DD60" s="716"/>
      <c r="DE60" s="716"/>
      <c r="DF60" s="716"/>
      <c r="DG60" s="716"/>
      <c r="DH60" s="716"/>
      <c r="DI60" s="716"/>
      <c r="DJ60" s="716"/>
      <c r="DK60" s="716"/>
      <c r="DL60" s="716"/>
      <c r="DM60" s="716"/>
      <c r="DN60" s="716"/>
      <c r="DO60" s="716"/>
      <c r="DP60" s="716"/>
      <c r="DQ60" s="716"/>
      <c r="DR60" s="716"/>
      <c r="DS60" s="716"/>
      <c r="DT60" s="716"/>
      <c r="DU60" s="716"/>
      <c r="DV60" s="716"/>
      <c r="DW60" s="716"/>
      <c r="DX60" s="716"/>
      <c r="DY60" s="716"/>
      <c r="DZ60" s="716"/>
      <c r="EA60" s="716"/>
      <c r="EB60" s="716"/>
      <c r="EC60" s="716"/>
      <c r="ED60" s="716"/>
      <c r="EE60" s="716"/>
      <c r="EF60" s="716"/>
      <c r="EG60" s="716"/>
      <c r="EH60" s="716"/>
      <c r="EI60" s="716"/>
      <c r="EJ60" s="716"/>
      <c r="EK60" s="716"/>
      <c r="EL60" s="716"/>
      <c r="EM60" s="716"/>
      <c r="EN60" s="716"/>
      <c r="EO60" s="716"/>
      <c r="EP60" s="716"/>
      <c r="EQ60" s="716"/>
      <c r="ER60" s="716"/>
      <c r="ES60" s="716"/>
      <c r="ET60" s="716"/>
      <c r="EU60" s="716"/>
      <c r="EV60" s="716"/>
      <c r="EW60" s="716"/>
      <c r="EX60" s="716"/>
      <c r="EY60" s="716"/>
      <c r="EZ60" s="716"/>
      <c r="FA60" s="716"/>
      <c r="FB60" s="716"/>
      <c r="FC60" s="716"/>
      <c r="FD60" s="716"/>
      <c r="FE60" s="716"/>
      <c r="FF60" s="716"/>
      <c r="FG60" s="716"/>
      <c r="FH60" s="716"/>
      <c r="FI60" s="716"/>
      <c r="FJ60" s="716"/>
      <c r="FK60" s="716"/>
      <c r="FL60" s="716"/>
      <c r="FM60" s="716"/>
      <c r="FN60" s="716"/>
      <c r="FO60" s="716"/>
      <c r="FP60" s="716"/>
      <c r="FQ60" s="716"/>
      <c r="FR60" s="716"/>
      <c r="FS60" s="716"/>
      <c r="FT60" s="716"/>
      <c r="FU60" s="716"/>
      <c r="FV60" s="716"/>
      <c r="FW60" s="716"/>
      <c r="FX60" s="716"/>
      <c r="FY60" s="716"/>
      <c r="FZ60" s="716"/>
      <c r="GA60" s="716"/>
    </row>
    <row r="61" spans="2:183" x14ac:dyDescent="0.25">
      <c r="C61" s="292" t="s">
        <v>577</v>
      </c>
      <c r="D61" s="1474"/>
      <c r="E61" s="1474"/>
      <c r="F61" s="1474"/>
      <c r="G61" s="1474"/>
      <c r="H61" s="1474"/>
      <c r="I61" s="716"/>
      <c r="AG61" s="716"/>
      <c r="AH61" s="716"/>
      <c r="AI61" s="716"/>
      <c r="AJ61" s="716"/>
      <c r="AK61" s="716"/>
      <c r="AL61" s="716"/>
      <c r="AM61" s="716"/>
      <c r="AN61" s="1390" t="s">
        <v>659</v>
      </c>
      <c r="AO61" s="1391"/>
      <c r="AP61" s="1391"/>
      <c r="AQ61" s="1391"/>
      <c r="AR61" s="1391"/>
      <c r="AS61" s="1391"/>
      <c r="AT61" s="1392"/>
      <c r="AU61" s="716"/>
      <c r="AV61" s="716"/>
      <c r="AW61" s="716"/>
      <c r="AX61" s="716"/>
      <c r="AY61" s="716"/>
      <c r="AZ61" s="716"/>
      <c r="BA61" s="716"/>
      <c r="BB61" s="716"/>
      <c r="BC61" s="716"/>
      <c r="BD61" s="716"/>
      <c r="BE61" s="716"/>
      <c r="BF61" s="716"/>
      <c r="BG61" s="716"/>
      <c r="BH61" s="716"/>
      <c r="BI61" s="716"/>
      <c r="BJ61" s="716"/>
      <c r="BK61" s="716"/>
      <c r="BL61" s="716"/>
      <c r="BM61" s="716"/>
      <c r="BN61" s="716"/>
      <c r="BO61" s="716"/>
      <c r="BP61" s="716"/>
      <c r="BQ61" s="716"/>
      <c r="BR61" s="716"/>
      <c r="BS61" s="716"/>
      <c r="BT61" s="716"/>
      <c r="BU61" s="716"/>
      <c r="BV61" s="716"/>
      <c r="BW61" s="716"/>
      <c r="BX61" s="716"/>
      <c r="BY61" s="716"/>
      <c r="BZ61" s="716"/>
      <c r="CA61" s="716"/>
      <c r="CB61" s="716"/>
      <c r="CC61" s="716"/>
      <c r="CD61" s="716"/>
      <c r="CE61" s="716"/>
      <c r="CF61" s="716"/>
      <c r="CG61" s="716"/>
      <c r="CH61" s="716"/>
      <c r="CI61" s="716"/>
      <c r="CJ61" s="716"/>
      <c r="CK61" s="716"/>
      <c r="CL61" s="716"/>
      <c r="CM61" s="716"/>
      <c r="CN61" s="716"/>
      <c r="CO61" s="716"/>
      <c r="CP61" s="716"/>
      <c r="CQ61" s="716"/>
      <c r="CR61" s="716"/>
      <c r="CS61" s="716"/>
      <c r="CT61" s="716"/>
      <c r="CU61" s="716"/>
      <c r="CV61" s="716"/>
      <c r="CW61" s="716"/>
      <c r="CX61" s="716"/>
      <c r="CY61" s="716"/>
      <c r="CZ61" s="716"/>
      <c r="DA61" s="716"/>
      <c r="DB61" s="716"/>
      <c r="DC61" s="716"/>
      <c r="DD61" s="716"/>
      <c r="DE61" s="716"/>
      <c r="DF61" s="716"/>
      <c r="DG61" s="716"/>
      <c r="DH61" s="716"/>
      <c r="DI61" s="716"/>
      <c r="DJ61" s="716"/>
      <c r="DK61" s="716"/>
      <c r="DL61" s="716"/>
      <c r="DM61" s="716"/>
      <c r="DN61" s="716"/>
      <c r="DO61" s="716"/>
      <c r="DP61" s="716"/>
      <c r="DQ61" s="716"/>
      <c r="DR61" s="716"/>
      <c r="DS61" s="716"/>
      <c r="DT61" s="716"/>
      <c r="DU61" s="716"/>
      <c r="DV61" s="716"/>
      <c r="DW61" s="716"/>
      <c r="DX61" s="716"/>
      <c r="DY61" s="716"/>
      <c r="DZ61" s="716"/>
      <c r="EA61" s="716"/>
      <c r="EB61" s="716"/>
      <c r="EC61" s="716"/>
      <c r="ED61" s="716"/>
      <c r="EE61" s="716"/>
      <c r="EF61" s="716"/>
      <c r="EG61" s="716"/>
      <c r="EH61" s="716"/>
      <c r="EI61" s="716"/>
      <c r="EJ61" s="716"/>
      <c r="EK61" s="716"/>
      <c r="EL61" s="716"/>
      <c r="EM61" s="716"/>
      <c r="EN61" s="716"/>
      <c r="EO61" s="716"/>
      <c r="EP61" s="716"/>
      <c r="EQ61" s="716"/>
      <c r="ER61" s="716"/>
      <c r="ES61" s="716"/>
      <c r="ET61" s="716"/>
      <c r="EU61" s="716"/>
      <c r="EV61" s="716"/>
      <c r="EW61" s="716"/>
      <c r="EX61" s="716"/>
      <c r="EY61" s="716"/>
      <c r="EZ61" s="716"/>
      <c r="FA61" s="716"/>
      <c r="FB61" s="716"/>
      <c r="FC61" s="716"/>
      <c r="FD61" s="716"/>
      <c r="FE61" s="716"/>
      <c r="FF61" s="716"/>
      <c r="FG61" s="716"/>
      <c r="FH61" s="716"/>
      <c r="FI61" s="716"/>
      <c r="FJ61" s="716"/>
      <c r="FK61" s="716"/>
      <c r="FL61" s="716"/>
      <c r="FM61" s="716"/>
      <c r="FN61" s="716"/>
      <c r="FO61" s="716"/>
      <c r="FP61" s="716"/>
      <c r="FQ61" s="716"/>
      <c r="FR61" s="716"/>
      <c r="FS61" s="716"/>
      <c r="FT61" s="716"/>
      <c r="FU61" s="716"/>
      <c r="FV61" s="716"/>
      <c r="FW61" s="716"/>
      <c r="FX61" s="716"/>
      <c r="FY61" s="716"/>
      <c r="FZ61" s="716"/>
      <c r="GA61" s="716"/>
    </row>
    <row r="62" spans="2:183" x14ac:dyDescent="0.25">
      <c r="D62" s="759"/>
      <c r="I62" s="716"/>
      <c r="AG62" s="716"/>
      <c r="AH62" s="716"/>
      <c r="AI62" s="716"/>
      <c r="AJ62" s="716"/>
      <c r="AK62" s="716"/>
      <c r="AL62" s="716"/>
      <c r="AM62" s="716"/>
      <c r="AN62" s="1393"/>
      <c r="AO62" s="1394"/>
      <c r="AP62" s="1394"/>
      <c r="AQ62" s="1394"/>
      <c r="AR62" s="1394"/>
      <c r="AS62" s="1394"/>
      <c r="AT62" s="1395"/>
      <c r="AU62" s="716"/>
      <c r="AV62" s="716"/>
      <c r="AW62" s="716"/>
      <c r="AX62" s="716"/>
      <c r="AY62" s="716"/>
      <c r="AZ62" s="716"/>
      <c r="BA62" s="716"/>
      <c r="BB62" s="716"/>
      <c r="BC62" s="716"/>
      <c r="BD62" s="716"/>
      <c r="BE62" s="716"/>
      <c r="BF62" s="716"/>
      <c r="BG62" s="716"/>
      <c r="BH62" s="716"/>
      <c r="BI62" s="716"/>
      <c r="BJ62" s="716"/>
      <c r="BK62" s="716"/>
      <c r="BL62" s="716"/>
      <c r="BM62" s="716"/>
      <c r="BN62" s="716"/>
      <c r="BO62" s="716"/>
      <c r="BP62" s="716"/>
      <c r="BQ62" s="716"/>
      <c r="BR62" s="716"/>
      <c r="BS62" s="716"/>
      <c r="BT62" s="716"/>
      <c r="BU62" s="716"/>
      <c r="BV62" s="716"/>
      <c r="BW62" s="716"/>
      <c r="BX62" s="716"/>
      <c r="BY62" s="716"/>
      <c r="BZ62" s="716"/>
      <c r="CA62" s="716"/>
      <c r="CB62" s="716"/>
      <c r="CC62" s="716"/>
      <c r="CD62" s="716"/>
      <c r="CE62" s="716"/>
      <c r="CF62" s="716"/>
      <c r="CG62" s="716"/>
      <c r="CH62" s="716"/>
      <c r="CI62" s="716"/>
      <c r="CJ62" s="716"/>
      <c r="CK62" s="716"/>
      <c r="CL62" s="716"/>
      <c r="CM62" s="716"/>
      <c r="CN62" s="716"/>
      <c r="CO62" s="716"/>
      <c r="CP62" s="716"/>
      <c r="CQ62" s="716"/>
      <c r="CR62" s="716"/>
      <c r="CS62" s="716"/>
      <c r="CT62" s="716"/>
      <c r="CU62" s="716"/>
      <c r="CV62" s="716"/>
      <c r="CW62" s="716"/>
      <c r="CX62" s="716"/>
      <c r="CY62" s="716"/>
      <c r="CZ62" s="716"/>
      <c r="DA62" s="716"/>
      <c r="DB62" s="716"/>
      <c r="DC62" s="716"/>
      <c r="DD62" s="716"/>
      <c r="DE62" s="716"/>
      <c r="DF62" s="716"/>
      <c r="DG62" s="716"/>
      <c r="DH62" s="716"/>
      <c r="DI62" s="716"/>
      <c r="DJ62" s="716"/>
      <c r="DK62" s="716"/>
      <c r="DL62" s="716"/>
      <c r="DM62" s="716"/>
      <c r="DN62" s="716"/>
      <c r="DO62" s="716"/>
      <c r="DP62" s="716"/>
      <c r="DQ62" s="716"/>
      <c r="DR62" s="716"/>
      <c r="DS62" s="716"/>
      <c r="DT62" s="716"/>
      <c r="DU62" s="716"/>
      <c r="DV62" s="716"/>
      <c r="DW62" s="716"/>
      <c r="DX62" s="716"/>
      <c r="DY62" s="716"/>
      <c r="DZ62" s="716"/>
      <c r="EA62" s="716"/>
      <c r="EB62" s="716"/>
      <c r="EC62" s="716"/>
      <c r="ED62" s="716"/>
      <c r="EE62" s="716"/>
      <c r="EF62" s="716"/>
      <c r="EG62" s="716"/>
      <c r="EH62" s="716"/>
      <c r="EI62" s="716"/>
      <c r="EJ62" s="716"/>
      <c r="EK62" s="716"/>
      <c r="EL62" s="716"/>
      <c r="EM62" s="716"/>
      <c r="EN62" s="716"/>
      <c r="EO62" s="716"/>
      <c r="EP62" s="716"/>
      <c r="EQ62" s="716"/>
      <c r="ER62" s="716"/>
      <c r="ES62" s="716"/>
      <c r="ET62" s="716"/>
      <c r="EU62" s="716"/>
      <c r="EV62" s="716"/>
      <c r="EW62" s="716"/>
      <c r="EX62" s="716"/>
      <c r="EY62" s="716"/>
      <c r="EZ62" s="716"/>
      <c r="FA62" s="716"/>
      <c r="FB62" s="716"/>
      <c r="FC62" s="716"/>
      <c r="FD62" s="716"/>
      <c r="FE62" s="716"/>
      <c r="FF62" s="716"/>
      <c r="FG62" s="716"/>
      <c r="FH62" s="716"/>
      <c r="FI62" s="716"/>
      <c r="FJ62" s="716"/>
      <c r="FK62" s="716"/>
      <c r="FL62" s="716"/>
      <c r="FM62" s="716"/>
      <c r="FN62" s="716"/>
      <c r="FO62" s="716"/>
      <c r="FP62" s="716"/>
      <c r="FQ62" s="716"/>
      <c r="FR62" s="716"/>
      <c r="FS62" s="716"/>
      <c r="FT62" s="716"/>
      <c r="FU62" s="716"/>
      <c r="FV62" s="716"/>
      <c r="FW62" s="716"/>
      <c r="FX62" s="716"/>
      <c r="FY62" s="716"/>
      <c r="FZ62" s="716"/>
      <c r="GA62" s="716"/>
    </row>
    <row r="63" spans="2:183" x14ac:dyDescent="0.25">
      <c r="D63" s="759"/>
      <c r="I63" s="716"/>
      <c r="AG63" s="716"/>
      <c r="AH63" s="716"/>
      <c r="AI63" s="716"/>
      <c r="AJ63" s="716"/>
      <c r="AK63" s="716"/>
      <c r="AL63" s="716"/>
      <c r="AM63" s="716"/>
      <c r="AN63" s="1393"/>
      <c r="AO63" s="1394"/>
      <c r="AP63" s="1394"/>
      <c r="AQ63" s="1394"/>
      <c r="AR63" s="1394"/>
      <c r="AS63" s="1394"/>
      <c r="AT63" s="1395"/>
      <c r="AU63" s="716"/>
      <c r="AV63" s="716"/>
      <c r="AW63" s="716"/>
      <c r="AX63" s="716"/>
      <c r="AY63" s="716"/>
      <c r="AZ63" s="716"/>
      <c r="BA63" s="716"/>
      <c r="BB63" s="716"/>
      <c r="BC63" s="716"/>
      <c r="BD63" s="716"/>
      <c r="BE63" s="716"/>
      <c r="BF63" s="716"/>
      <c r="BG63" s="716"/>
      <c r="BH63" s="716"/>
      <c r="BI63" s="716"/>
      <c r="BJ63" s="716"/>
      <c r="BK63" s="716"/>
      <c r="BL63" s="716"/>
      <c r="BM63" s="716"/>
      <c r="BN63" s="716"/>
      <c r="BO63" s="716"/>
      <c r="BP63" s="716"/>
      <c r="BQ63" s="716"/>
      <c r="BR63" s="716"/>
      <c r="BS63" s="716"/>
      <c r="BT63" s="716"/>
      <c r="BU63" s="716"/>
      <c r="BV63" s="716"/>
      <c r="BW63" s="716"/>
      <c r="BX63" s="716"/>
      <c r="BY63" s="716"/>
      <c r="BZ63" s="716"/>
      <c r="CA63" s="716"/>
      <c r="CB63" s="716"/>
      <c r="CC63" s="716"/>
      <c r="CD63" s="716"/>
      <c r="CE63" s="716"/>
      <c r="CF63" s="716"/>
      <c r="CG63" s="716"/>
      <c r="CH63" s="716"/>
      <c r="CI63" s="716"/>
      <c r="CJ63" s="716"/>
      <c r="CK63" s="716"/>
      <c r="CL63" s="716"/>
      <c r="CM63" s="716"/>
      <c r="CN63" s="716"/>
      <c r="CO63" s="716"/>
      <c r="CP63" s="716"/>
      <c r="CQ63" s="716"/>
      <c r="CR63" s="716"/>
      <c r="CS63" s="716"/>
      <c r="CT63" s="716"/>
      <c r="CU63" s="716"/>
      <c r="CV63" s="716"/>
      <c r="CW63" s="716"/>
      <c r="CX63" s="716"/>
      <c r="CY63" s="716"/>
      <c r="CZ63" s="716"/>
      <c r="DA63" s="716"/>
      <c r="DB63" s="716"/>
      <c r="DC63" s="716"/>
      <c r="DD63" s="716"/>
      <c r="DE63" s="716"/>
      <c r="DF63" s="716"/>
      <c r="DG63" s="716"/>
      <c r="DH63" s="716"/>
      <c r="DI63" s="716"/>
      <c r="DJ63" s="716"/>
      <c r="DK63" s="716"/>
      <c r="DL63" s="716"/>
      <c r="DM63" s="716"/>
      <c r="DN63" s="716"/>
      <c r="DO63" s="716"/>
      <c r="DP63" s="716"/>
      <c r="DQ63" s="716"/>
      <c r="DR63" s="716"/>
      <c r="DS63" s="716"/>
      <c r="DT63" s="716"/>
      <c r="DU63" s="716"/>
      <c r="DV63" s="716"/>
      <c r="DW63" s="716"/>
      <c r="DX63" s="716"/>
      <c r="DY63" s="716"/>
      <c r="DZ63" s="716"/>
      <c r="EA63" s="716"/>
      <c r="EB63" s="716"/>
      <c r="EC63" s="716"/>
      <c r="ED63" s="716"/>
      <c r="EE63" s="716"/>
      <c r="EF63" s="716"/>
      <c r="EG63" s="716"/>
      <c r="EH63" s="716"/>
      <c r="EI63" s="716"/>
      <c r="EJ63" s="716"/>
      <c r="EK63" s="716"/>
      <c r="EL63" s="716"/>
      <c r="EM63" s="716"/>
      <c r="EN63" s="716"/>
      <c r="EO63" s="716"/>
      <c r="EP63" s="716"/>
      <c r="EQ63" s="716"/>
      <c r="ER63" s="716"/>
      <c r="ES63" s="716"/>
      <c r="ET63" s="716"/>
      <c r="EU63" s="716"/>
      <c r="EV63" s="716"/>
      <c r="EW63" s="716"/>
      <c r="EX63" s="716"/>
      <c r="EY63" s="716"/>
      <c r="EZ63" s="716"/>
      <c r="FA63" s="716"/>
      <c r="FB63" s="716"/>
      <c r="FC63" s="716"/>
      <c r="FD63" s="716"/>
      <c r="FE63" s="716"/>
      <c r="FF63" s="716"/>
      <c r="FG63" s="716"/>
      <c r="FH63" s="716"/>
      <c r="FI63" s="716"/>
      <c r="FJ63" s="716"/>
      <c r="FK63" s="716"/>
      <c r="FL63" s="716"/>
      <c r="FM63" s="716"/>
      <c r="FN63" s="716"/>
      <c r="FO63" s="716"/>
      <c r="FP63" s="716"/>
      <c r="FQ63" s="716"/>
      <c r="FR63" s="716"/>
      <c r="FS63" s="716"/>
      <c r="FT63" s="716"/>
      <c r="FU63" s="716"/>
      <c r="FV63" s="716"/>
      <c r="FW63" s="716"/>
      <c r="FX63" s="716"/>
      <c r="FY63" s="716"/>
      <c r="FZ63" s="716"/>
      <c r="GA63" s="716"/>
    </row>
    <row r="64" spans="2:183" x14ac:dyDescent="0.25">
      <c r="D64" s="759"/>
      <c r="I64" s="716"/>
      <c r="AG64" s="716"/>
      <c r="AH64" s="716"/>
      <c r="AI64" s="716"/>
      <c r="AJ64" s="716"/>
      <c r="AK64" s="716"/>
      <c r="AL64" s="716"/>
      <c r="AM64" s="716"/>
      <c r="AN64" s="1393"/>
      <c r="AO64" s="1394"/>
      <c r="AP64" s="1394"/>
      <c r="AQ64" s="1394"/>
      <c r="AR64" s="1394"/>
      <c r="AS64" s="1394"/>
      <c r="AT64" s="1395"/>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6"/>
      <c r="FX64" s="716"/>
      <c r="FY64" s="716"/>
      <c r="FZ64" s="716"/>
      <c r="GA64" s="716"/>
    </row>
    <row r="65" spans="2:183" x14ac:dyDescent="0.25">
      <c r="D65" s="759"/>
      <c r="I65" s="716"/>
      <c r="AG65" s="716"/>
      <c r="AH65" s="716"/>
      <c r="AI65" s="716"/>
      <c r="AJ65" s="716"/>
      <c r="AK65" s="716"/>
      <c r="AL65" s="716"/>
      <c r="AM65" s="716"/>
      <c r="AN65" s="1396"/>
      <c r="AO65" s="1010"/>
      <c r="AP65" s="1010"/>
      <c r="AQ65" s="1010"/>
      <c r="AR65" s="1010"/>
      <c r="AS65" s="1010"/>
      <c r="AT65" s="1397"/>
      <c r="AU65" s="716"/>
      <c r="AV65" s="716"/>
      <c r="AW65" s="716"/>
      <c r="AX65" s="716"/>
      <c r="AY65" s="716"/>
      <c r="AZ65" s="716"/>
      <c r="BA65" s="716"/>
      <c r="BB65" s="716"/>
      <c r="BC65" s="716"/>
      <c r="BD65" s="716"/>
      <c r="BE65" s="716"/>
      <c r="BF65" s="716"/>
      <c r="BG65" s="716"/>
      <c r="BH65" s="716"/>
      <c r="BI65" s="716"/>
      <c r="BJ65" s="716"/>
      <c r="BK65" s="716"/>
      <c r="BL65" s="716"/>
      <c r="BM65" s="716"/>
      <c r="BN65" s="716"/>
      <c r="BO65" s="716"/>
      <c r="BP65" s="716"/>
      <c r="BQ65" s="716"/>
      <c r="BR65" s="716"/>
      <c r="BS65" s="716"/>
      <c r="BT65" s="716"/>
      <c r="BU65" s="716"/>
      <c r="BV65" s="716"/>
      <c r="BW65" s="716"/>
      <c r="BX65" s="716"/>
      <c r="BY65" s="716"/>
      <c r="BZ65" s="716"/>
      <c r="CA65" s="716"/>
      <c r="CB65" s="716"/>
      <c r="CC65" s="716"/>
      <c r="CD65" s="716"/>
      <c r="CE65" s="716"/>
      <c r="CF65" s="716"/>
      <c r="CG65" s="716"/>
      <c r="CH65" s="716"/>
      <c r="CI65" s="716"/>
      <c r="CJ65" s="716"/>
      <c r="CK65" s="716"/>
      <c r="CL65" s="716"/>
      <c r="CM65" s="716"/>
      <c r="CN65" s="716"/>
      <c r="CO65" s="716"/>
      <c r="CP65" s="716"/>
      <c r="CQ65" s="716"/>
      <c r="CR65" s="716"/>
      <c r="CS65" s="716"/>
      <c r="CT65" s="716"/>
      <c r="CU65" s="716"/>
      <c r="CV65" s="716"/>
      <c r="CW65" s="716"/>
      <c r="CX65" s="716"/>
      <c r="CY65" s="716"/>
      <c r="CZ65" s="716"/>
      <c r="DA65" s="716"/>
      <c r="DB65" s="716"/>
      <c r="DC65" s="716"/>
      <c r="DD65" s="716"/>
      <c r="DE65" s="716"/>
      <c r="DF65" s="716"/>
      <c r="DG65" s="716"/>
      <c r="DH65" s="716"/>
      <c r="DI65" s="716"/>
      <c r="DJ65" s="716"/>
      <c r="DK65" s="716"/>
      <c r="DL65" s="716"/>
      <c r="DM65" s="716"/>
      <c r="DN65" s="716"/>
      <c r="DO65" s="716"/>
      <c r="DP65" s="716"/>
      <c r="DQ65" s="716"/>
      <c r="DR65" s="716"/>
      <c r="DS65" s="716"/>
      <c r="DT65" s="716"/>
      <c r="DU65" s="716"/>
      <c r="DV65" s="716"/>
      <c r="DW65" s="716"/>
      <c r="DX65" s="716"/>
      <c r="DY65" s="716"/>
      <c r="DZ65" s="716"/>
      <c r="EA65" s="716"/>
      <c r="EB65" s="716"/>
      <c r="EC65" s="716"/>
      <c r="ED65" s="716"/>
      <c r="EE65" s="716"/>
      <c r="EF65" s="716"/>
      <c r="EG65" s="716"/>
      <c r="EH65" s="716"/>
      <c r="EI65" s="716"/>
      <c r="EJ65" s="716"/>
      <c r="EK65" s="716"/>
      <c r="EL65" s="716"/>
      <c r="EM65" s="716"/>
      <c r="EN65" s="716"/>
      <c r="EO65" s="716"/>
      <c r="EP65" s="716"/>
      <c r="EQ65" s="716"/>
      <c r="ER65" s="716"/>
      <c r="ES65" s="716"/>
      <c r="ET65" s="716"/>
      <c r="EU65" s="716"/>
      <c r="EV65" s="716"/>
      <c r="EW65" s="716"/>
      <c r="EX65" s="716"/>
      <c r="EY65" s="716"/>
      <c r="EZ65" s="716"/>
      <c r="FA65" s="716"/>
      <c r="FB65" s="716"/>
      <c r="FC65" s="716"/>
      <c r="FD65" s="716"/>
      <c r="FE65" s="716"/>
      <c r="FF65" s="716"/>
      <c r="FG65" s="716"/>
      <c r="FH65" s="716"/>
      <c r="FI65" s="716"/>
      <c r="FJ65" s="716"/>
      <c r="FK65" s="716"/>
      <c r="FL65" s="716"/>
      <c r="FM65" s="716"/>
      <c r="FN65" s="716"/>
      <c r="FO65" s="716"/>
      <c r="FP65" s="716"/>
      <c r="FQ65" s="716"/>
      <c r="FR65" s="716"/>
      <c r="FS65" s="716"/>
      <c r="FT65" s="716"/>
      <c r="FU65" s="716"/>
      <c r="FV65" s="716"/>
      <c r="FW65" s="716"/>
      <c r="FX65" s="716"/>
      <c r="FY65" s="716"/>
      <c r="FZ65" s="716"/>
      <c r="GA65" s="716"/>
    </row>
    <row r="66" spans="2:183" x14ac:dyDescent="0.25">
      <c r="D66" s="759"/>
      <c r="I66" s="716"/>
      <c r="AG66" s="716"/>
      <c r="AH66" s="716"/>
      <c r="AI66" s="716"/>
      <c r="AJ66" s="716"/>
      <c r="AK66" s="716"/>
      <c r="AL66" s="716"/>
      <c r="AM66" s="716"/>
      <c r="AN66" s="1390" t="s">
        <v>656</v>
      </c>
      <c r="AO66" s="1391"/>
      <c r="AP66" s="1391"/>
      <c r="AQ66" s="1392"/>
      <c r="AR66" s="716"/>
      <c r="AS66" s="716"/>
      <c r="AT66" s="716"/>
      <c r="AU66" s="716"/>
      <c r="AV66" s="716"/>
      <c r="AW66" s="716"/>
      <c r="AX66" s="716"/>
      <c r="AY66" s="716"/>
      <c r="AZ66" s="716"/>
      <c r="BA66" s="716"/>
      <c r="BB66" s="716"/>
      <c r="BC66" s="716"/>
      <c r="BD66" s="716"/>
      <c r="BE66" s="716"/>
      <c r="BF66" s="716"/>
      <c r="BG66" s="716"/>
      <c r="BH66" s="716"/>
      <c r="BI66" s="716"/>
      <c r="BJ66" s="716"/>
      <c r="BK66" s="716"/>
      <c r="BL66" s="716"/>
      <c r="BM66" s="716"/>
      <c r="BN66" s="716"/>
      <c r="BO66" s="716"/>
      <c r="BP66" s="716"/>
      <c r="BQ66" s="716"/>
      <c r="BR66" s="716"/>
      <c r="BS66" s="716"/>
      <c r="BT66" s="716"/>
      <c r="BU66" s="716"/>
      <c r="BV66" s="716"/>
      <c r="BW66" s="716"/>
      <c r="BX66" s="716"/>
      <c r="BY66" s="716"/>
      <c r="BZ66" s="716"/>
      <c r="CA66" s="716"/>
      <c r="CB66" s="716"/>
      <c r="CC66" s="716"/>
      <c r="CD66" s="716"/>
      <c r="CE66" s="716"/>
      <c r="CF66" s="716"/>
      <c r="CG66" s="716"/>
      <c r="CH66" s="716"/>
      <c r="CI66" s="716"/>
      <c r="CJ66" s="716"/>
      <c r="CK66" s="716"/>
      <c r="CL66" s="716"/>
      <c r="CM66" s="716"/>
      <c r="CN66" s="716"/>
      <c r="CO66" s="716"/>
      <c r="CP66" s="716"/>
      <c r="CQ66" s="716"/>
      <c r="CR66" s="716"/>
      <c r="CS66" s="716"/>
      <c r="CT66" s="716"/>
      <c r="CU66" s="716"/>
      <c r="CV66" s="716"/>
      <c r="CW66" s="716"/>
      <c r="CX66" s="716"/>
      <c r="CY66" s="716"/>
      <c r="CZ66" s="716"/>
      <c r="DA66" s="716"/>
      <c r="DB66" s="716"/>
      <c r="DC66" s="716"/>
      <c r="DD66" s="716"/>
      <c r="DE66" s="716"/>
      <c r="DF66" s="716"/>
      <c r="DG66" s="716"/>
      <c r="DH66" s="716"/>
      <c r="DI66" s="716"/>
      <c r="DJ66" s="716"/>
      <c r="DK66" s="716"/>
      <c r="DL66" s="716"/>
      <c r="DM66" s="716"/>
      <c r="DN66" s="716"/>
      <c r="DO66" s="716"/>
      <c r="DP66" s="716"/>
      <c r="DQ66" s="716"/>
      <c r="DR66" s="716"/>
      <c r="DS66" s="716"/>
      <c r="DT66" s="716"/>
      <c r="DU66" s="716"/>
      <c r="DV66" s="716"/>
      <c r="DW66" s="716"/>
      <c r="DX66" s="716"/>
      <c r="DY66" s="716"/>
      <c r="DZ66" s="716"/>
      <c r="EA66" s="716"/>
      <c r="EB66" s="716"/>
      <c r="EC66" s="716"/>
      <c r="ED66" s="716"/>
      <c r="EE66" s="716"/>
      <c r="EF66" s="716"/>
      <c r="EG66" s="716"/>
      <c r="EH66" s="716"/>
      <c r="EI66" s="716"/>
      <c r="EJ66" s="716"/>
      <c r="EK66" s="716"/>
      <c r="EL66" s="716"/>
      <c r="EM66" s="716"/>
      <c r="EN66" s="716"/>
      <c r="EO66" s="716"/>
      <c r="EP66" s="716"/>
      <c r="EQ66" s="716"/>
      <c r="ER66" s="716"/>
      <c r="ES66" s="716"/>
      <c r="ET66" s="716"/>
      <c r="EU66" s="716"/>
      <c r="EV66" s="716"/>
      <c r="EW66" s="716"/>
      <c r="EX66" s="716"/>
      <c r="EY66" s="716"/>
      <c r="EZ66" s="716"/>
      <c r="FA66" s="716"/>
      <c r="FB66" s="716"/>
      <c r="FC66" s="716"/>
      <c r="FD66" s="716"/>
      <c r="FE66" s="716"/>
      <c r="FF66" s="716"/>
      <c r="FG66" s="716"/>
      <c r="FH66" s="716"/>
      <c r="FI66" s="716"/>
      <c r="FJ66" s="716"/>
      <c r="FK66" s="716"/>
      <c r="FL66" s="716"/>
      <c r="FM66" s="716"/>
      <c r="FN66" s="716"/>
      <c r="FO66" s="716"/>
      <c r="FP66" s="716"/>
      <c r="FQ66" s="716"/>
      <c r="FR66" s="716"/>
      <c r="FS66" s="716"/>
      <c r="FT66" s="716"/>
      <c r="FU66" s="716"/>
      <c r="FV66" s="716"/>
      <c r="FW66" s="716"/>
      <c r="FX66" s="716"/>
      <c r="FY66" s="716"/>
      <c r="FZ66" s="716"/>
      <c r="GA66" s="716"/>
    </row>
    <row r="67" spans="2:183" ht="15.6" x14ac:dyDescent="0.3">
      <c r="C67" s="511" t="s">
        <v>578</v>
      </c>
      <c r="D67" s="1017" t="str">
        <f>IF(C12="","LIQUIDACIÓN NO VÁLIDA, FALTA INDICAR SU NOMBRE",IF(C13="","LIQUIDACIÓN NO VÁLIDA FALTA INDICAR EL PROYECTO",IF(C14="","LIQUIDACIÓN NO VALIDA, FALTA INDICAR LA ORGÁNICA Y PROYECTO",IF(C16="","LIQUIDACIÓN NO VÁLIDA, FALTA INDICAR LA NACIONALIDAD",IF(H16="","LIQUIDACIÓN NO VÁLIDA, FALTA INDICAR DNI/ Pasaporte",IF(C17="","LIQUIDACIÓN NO VÁLIDA, FALTA INDICAR EL DOMILIO",IF(AND(C31=R6,I31&gt;0),"LIQUIDACIÓN NO VÁLIDA, ELIJA A QUIÉN SE LE ABONA",IF(AND(I31&lt;&gt;0,E31=""),"LIQUIDACIÓN NO VÁLIDA, FALTA INDICAR EL Nº DE NOCHES",IF(AND(C31&lt;&gt;C15,G31="",I31&gt;0),"LIQUIDACIÓN NO VÁLIDA, FALTA INDICAR EL NOMBRE DEL PERCEPTOR",IF(AND(C34=R6,M35&gt;0),"LIQUIDACIÓN NO VÁLIDA, ELIJA A QUIÉN SE LE ABONA",IF(AND(I35&lt;&gt;0,K38=0),"LIQUIDACIÓN NO VÁLIDA, FALTA INDICAR EL Nº DE DÍAS",IF(AND(I35&lt;&gt;0,C36=""),"LIQUIDACIÓN NO VÁLIDA, FALTA INDICAR EL Nº DE COMENSALES",IF(AND(C34&lt;&gt;C15,G36="",I35&gt;0),"LIQUIDACIÓN NO VÁLIDA, INDIQUE EL NOMBRE DEL PERCEPTOR",IF(AND(C34&lt;&gt;C15,G36="",I36&gt;0),"LIQUIDACIÓN NO VÁLIDA, INDIQUE EL NOMBRE DEL PERCEPTOR",IF(I36="Borre el importe de la factura","Borre el importe de la factura",IF(C38="Falta indicar el Nº de días","Falta indicar el Nº de días",IF(C38="Elija entre abonar por Factura o Decreto","Elija entre abonar por Factura o Decreto","")))))))))))))))))</f>
        <v>LIQUIDACIÓN NO VÁLIDA, FALTA INDICAR SU NOMBRE</v>
      </c>
      <c r="E67" s="937"/>
      <c r="F67" s="937"/>
      <c r="G67" s="937"/>
      <c r="H67" s="937"/>
      <c r="I67" s="937"/>
      <c r="AG67" s="716"/>
      <c r="AH67" s="716"/>
      <c r="AI67" s="716"/>
      <c r="AJ67" s="716"/>
      <c r="AK67" s="716"/>
      <c r="AL67" s="716"/>
      <c r="AM67" s="716"/>
      <c r="AN67" s="1396"/>
      <c r="AO67" s="1010"/>
      <c r="AP67" s="1010"/>
      <c r="AQ67" s="1397"/>
      <c r="AR67" s="716"/>
      <c r="AS67" s="716"/>
      <c r="AT67" s="716"/>
      <c r="AU67" s="716"/>
      <c r="AV67" s="716"/>
      <c r="AW67" s="716"/>
      <c r="AX67" s="716"/>
      <c r="AY67" s="716"/>
      <c r="AZ67" s="716"/>
      <c r="BA67" s="716"/>
      <c r="BB67" s="716"/>
      <c r="BC67" s="716"/>
      <c r="BD67" s="716"/>
      <c r="BE67" s="716"/>
      <c r="BF67" s="716"/>
      <c r="BG67" s="716"/>
      <c r="BH67" s="716"/>
      <c r="BI67" s="716"/>
      <c r="BJ67" s="716"/>
      <c r="BK67" s="716"/>
      <c r="BL67" s="716"/>
      <c r="BM67" s="716"/>
      <c r="BN67" s="716"/>
      <c r="BO67" s="716"/>
      <c r="BP67" s="716"/>
      <c r="BQ67" s="716"/>
      <c r="BR67" s="716"/>
      <c r="BS67" s="716"/>
      <c r="BT67" s="716"/>
      <c r="BU67" s="716"/>
      <c r="BV67" s="716"/>
      <c r="BW67" s="716"/>
      <c r="BX67" s="716"/>
      <c r="BY67" s="716"/>
      <c r="BZ67" s="716"/>
      <c r="CA67" s="716"/>
      <c r="CB67" s="716"/>
      <c r="CC67" s="716"/>
      <c r="CD67" s="716"/>
      <c r="CE67" s="716"/>
      <c r="CF67" s="716"/>
      <c r="CG67" s="716"/>
      <c r="CH67" s="716"/>
      <c r="CI67" s="716"/>
      <c r="CJ67" s="716"/>
      <c r="CK67" s="716"/>
      <c r="CL67" s="716"/>
      <c r="CM67" s="716"/>
      <c r="CN67" s="716"/>
      <c r="CO67" s="716"/>
      <c r="CP67" s="716"/>
      <c r="CQ67" s="716"/>
      <c r="CR67" s="716"/>
      <c r="CS67" s="716"/>
      <c r="CT67" s="716"/>
      <c r="CU67" s="716"/>
      <c r="CV67" s="716"/>
      <c r="CW67" s="716"/>
      <c r="CX67" s="716"/>
      <c r="CY67" s="716"/>
      <c r="CZ67" s="716"/>
      <c r="DA67" s="716"/>
      <c r="DB67" s="716"/>
      <c r="DC67" s="716"/>
      <c r="DD67" s="716"/>
      <c r="DE67" s="716"/>
      <c r="DF67" s="716"/>
      <c r="DG67" s="716"/>
      <c r="DH67" s="716"/>
      <c r="DI67" s="716"/>
      <c r="DJ67" s="716"/>
      <c r="DK67" s="716"/>
      <c r="DL67" s="716"/>
      <c r="DM67" s="716"/>
      <c r="DN67" s="716"/>
      <c r="DO67" s="716"/>
      <c r="DP67" s="716"/>
      <c r="DQ67" s="716"/>
      <c r="DR67" s="716"/>
      <c r="DS67" s="716"/>
      <c r="DT67" s="716"/>
      <c r="DU67" s="716"/>
      <c r="DV67" s="716"/>
      <c r="DW67" s="716"/>
      <c r="DX67" s="716"/>
      <c r="DY67" s="716"/>
      <c r="DZ67" s="716"/>
      <c r="EA67" s="716"/>
      <c r="EB67" s="716"/>
      <c r="EC67" s="716"/>
      <c r="ED67" s="716"/>
      <c r="EE67" s="716"/>
      <c r="EF67" s="716"/>
      <c r="EG67" s="716"/>
      <c r="EH67" s="716"/>
      <c r="EI67" s="716"/>
      <c r="EJ67" s="716"/>
      <c r="EK67" s="716"/>
      <c r="EL67" s="716"/>
      <c r="EM67" s="716"/>
      <c r="EN67" s="716"/>
      <c r="EO67" s="716"/>
      <c r="EP67" s="716"/>
      <c r="EQ67" s="716"/>
      <c r="ER67" s="716"/>
      <c r="ES67" s="716"/>
      <c r="ET67" s="716"/>
      <c r="EU67" s="716"/>
      <c r="EV67" s="716"/>
      <c r="EW67" s="716"/>
      <c r="EX67" s="716"/>
      <c r="EY67" s="716"/>
      <c r="EZ67" s="716"/>
      <c r="FA67" s="716"/>
      <c r="FB67" s="716"/>
      <c r="FC67" s="716"/>
      <c r="FD67" s="716"/>
      <c r="FE67" s="716"/>
      <c r="FF67" s="716"/>
      <c r="FG67" s="716"/>
      <c r="FH67" s="716"/>
      <c r="FI67" s="716"/>
      <c r="FJ67" s="716"/>
      <c r="FK67" s="716"/>
      <c r="FL67" s="716"/>
      <c r="FM67" s="716"/>
      <c r="FN67" s="716"/>
      <c r="FO67" s="716"/>
      <c r="FP67" s="716"/>
      <c r="FQ67" s="716"/>
      <c r="FR67" s="716"/>
      <c r="FS67" s="716"/>
      <c r="FT67" s="716"/>
      <c r="FU67" s="716"/>
      <c r="FV67" s="716"/>
      <c r="FW67" s="716"/>
      <c r="FX67" s="716"/>
      <c r="FY67" s="716"/>
      <c r="FZ67" s="716"/>
      <c r="GA67" s="716"/>
    </row>
    <row r="68" spans="2:183" x14ac:dyDescent="0.25">
      <c r="I68" s="716"/>
      <c r="AG68" s="716"/>
      <c r="AH68" s="716"/>
      <c r="AI68" s="716"/>
      <c r="AJ68" s="716"/>
      <c r="AK68" s="716"/>
      <c r="AL68" s="716"/>
      <c r="AM68" s="716"/>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c r="BR68" s="716"/>
      <c r="BS68" s="716"/>
      <c r="BT68" s="716"/>
      <c r="BU68" s="716"/>
      <c r="BV68" s="716"/>
      <c r="BW68" s="716"/>
      <c r="BX68" s="716"/>
      <c r="BY68" s="716"/>
      <c r="BZ68" s="716"/>
      <c r="CA68" s="716"/>
      <c r="CB68" s="716"/>
      <c r="CC68" s="716"/>
      <c r="CD68" s="716"/>
      <c r="CE68" s="716"/>
      <c r="CF68" s="716"/>
      <c r="CG68" s="716"/>
      <c r="CH68" s="716"/>
      <c r="CI68" s="716"/>
      <c r="CJ68" s="716"/>
      <c r="CK68" s="716"/>
      <c r="CL68" s="716"/>
      <c r="CM68" s="716"/>
      <c r="CN68" s="716"/>
      <c r="CO68" s="716"/>
      <c r="CP68" s="716"/>
      <c r="CQ68" s="716"/>
      <c r="CR68" s="716"/>
      <c r="CS68" s="716"/>
      <c r="CT68" s="716"/>
      <c r="CU68" s="716"/>
      <c r="CV68" s="716"/>
      <c r="CW68" s="716"/>
      <c r="CX68" s="716"/>
      <c r="CY68" s="716"/>
      <c r="CZ68" s="716"/>
      <c r="DA68" s="716"/>
      <c r="DB68" s="716"/>
      <c r="DC68" s="716"/>
      <c r="DD68" s="716"/>
      <c r="DE68" s="716"/>
      <c r="DF68" s="716"/>
      <c r="DG68" s="716"/>
      <c r="DH68" s="716"/>
      <c r="DI68" s="716"/>
      <c r="DJ68" s="716"/>
      <c r="DK68" s="716"/>
      <c r="DL68" s="716"/>
      <c r="DM68" s="716"/>
      <c r="DN68" s="716"/>
      <c r="DO68" s="716"/>
      <c r="DP68" s="716"/>
      <c r="DQ68" s="716"/>
      <c r="DR68" s="716"/>
      <c r="DS68" s="716"/>
      <c r="DT68" s="716"/>
      <c r="DU68" s="716"/>
      <c r="DV68" s="716"/>
      <c r="DW68" s="716"/>
      <c r="DX68" s="716"/>
      <c r="DY68" s="716"/>
      <c r="DZ68" s="716"/>
      <c r="EA68" s="716"/>
      <c r="EB68" s="716"/>
      <c r="EC68" s="716"/>
      <c r="ED68" s="716"/>
      <c r="EE68" s="716"/>
      <c r="EF68" s="716"/>
      <c r="EG68" s="716"/>
      <c r="EH68" s="716"/>
      <c r="EI68" s="716"/>
      <c r="EJ68" s="716"/>
      <c r="EK68" s="716"/>
      <c r="EL68" s="716"/>
      <c r="EM68" s="716"/>
      <c r="EN68" s="716"/>
      <c r="EO68" s="716"/>
      <c r="EP68" s="716"/>
      <c r="EQ68" s="716"/>
      <c r="ER68" s="716"/>
      <c r="ES68" s="716"/>
      <c r="ET68" s="716"/>
      <c r="EU68" s="716"/>
      <c r="EV68" s="716"/>
      <c r="EW68" s="716"/>
      <c r="EX68" s="716"/>
      <c r="EY68" s="716"/>
      <c r="EZ68" s="716"/>
      <c r="FA68" s="716"/>
      <c r="FB68" s="716"/>
      <c r="FC68" s="716"/>
      <c r="FD68" s="716"/>
      <c r="FE68" s="716"/>
      <c r="FF68" s="716"/>
      <c r="FG68" s="716"/>
      <c r="FH68" s="716"/>
      <c r="FI68" s="716"/>
      <c r="FJ68" s="716"/>
      <c r="FK68" s="716"/>
      <c r="FL68" s="716"/>
      <c r="FM68" s="716"/>
      <c r="FN68" s="716"/>
      <c r="FO68" s="716"/>
      <c r="FP68" s="716"/>
      <c r="FQ68" s="716"/>
      <c r="FR68" s="716"/>
      <c r="FS68" s="716"/>
      <c r="FT68" s="716"/>
      <c r="FU68" s="716"/>
      <c r="FV68" s="716"/>
      <c r="FW68" s="716"/>
      <c r="FX68" s="716"/>
      <c r="FY68" s="716"/>
      <c r="FZ68" s="716"/>
      <c r="GA68" s="716"/>
    </row>
    <row r="69" spans="2:183" ht="15.6" x14ac:dyDescent="0.3">
      <c r="B69" s="721" t="s">
        <v>579</v>
      </c>
      <c r="C69" s="1424" t="str">
        <f>IF(C15="","",C15)</f>
        <v/>
      </c>
      <c r="D69" s="1424"/>
      <c r="E69" s="1424"/>
      <c r="F69" s="292" t="s">
        <v>579</v>
      </c>
      <c r="G69" s="760" t="str">
        <f>IF(C12="","",C12)</f>
        <v/>
      </c>
      <c r="H69" s="761"/>
      <c r="I69" s="761"/>
      <c r="AG69" s="716"/>
      <c r="AH69" s="716"/>
      <c r="AI69" s="716"/>
      <c r="AJ69" s="716"/>
      <c r="AK69" s="716"/>
      <c r="AL69" s="716"/>
      <c r="AM69" s="716"/>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6"/>
      <c r="BJ69" s="716"/>
      <c r="BK69" s="716"/>
      <c r="BL69" s="716"/>
      <c r="BM69" s="716"/>
      <c r="BN69" s="716"/>
      <c r="BO69" s="716"/>
      <c r="BP69" s="716"/>
      <c r="BQ69" s="716"/>
      <c r="BR69" s="716"/>
      <c r="BS69" s="716"/>
      <c r="BT69" s="716"/>
      <c r="BU69" s="716"/>
      <c r="BV69" s="716"/>
      <c r="BW69" s="716"/>
      <c r="BX69" s="716"/>
      <c r="BY69" s="716"/>
      <c r="BZ69" s="716"/>
      <c r="CA69" s="716"/>
      <c r="CB69" s="716"/>
      <c r="CC69" s="716"/>
      <c r="CD69" s="716"/>
      <c r="CE69" s="716"/>
      <c r="CF69" s="716"/>
      <c r="CG69" s="716"/>
      <c r="CH69" s="716"/>
      <c r="CI69" s="716"/>
      <c r="CJ69" s="716"/>
      <c r="CK69" s="716"/>
      <c r="CL69" s="716"/>
      <c r="CM69" s="716"/>
      <c r="CN69" s="716"/>
      <c r="CO69" s="716"/>
      <c r="CP69" s="716"/>
      <c r="CQ69" s="716"/>
      <c r="CR69" s="716"/>
      <c r="CS69" s="716"/>
      <c r="CT69" s="716"/>
      <c r="CU69" s="716"/>
      <c r="CV69" s="716"/>
      <c r="CW69" s="716"/>
      <c r="CX69" s="716"/>
      <c r="CY69" s="716"/>
      <c r="CZ69" s="716"/>
      <c r="DA69" s="716"/>
      <c r="DB69" s="716"/>
      <c r="DC69" s="716"/>
      <c r="DD69" s="716"/>
      <c r="DE69" s="716"/>
      <c r="DF69" s="716"/>
      <c r="DG69" s="716"/>
      <c r="DH69" s="716"/>
      <c r="DI69" s="716"/>
      <c r="DJ69" s="716"/>
      <c r="DK69" s="716"/>
      <c r="DL69" s="716"/>
      <c r="DM69" s="716"/>
      <c r="DN69" s="716"/>
      <c r="DO69" s="716"/>
      <c r="DP69" s="716"/>
      <c r="DQ69" s="716"/>
      <c r="DR69" s="716"/>
      <c r="DS69" s="716"/>
      <c r="DT69" s="716"/>
      <c r="DU69" s="716"/>
      <c r="DV69" s="716"/>
      <c r="DW69" s="716"/>
      <c r="DX69" s="716"/>
      <c r="DY69" s="716"/>
      <c r="DZ69" s="716"/>
      <c r="EA69" s="716"/>
      <c r="EB69" s="716"/>
      <c r="EC69" s="716"/>
      <c r="ED69" s="716"/>
      <c r="EE69" s="716"/>
      <c r="EF69" s="716"/>
      <c r="EG69" s="716"/>
      <c r="EH69" s="716"/>
      <c r="EI69" s="716"/>
      <c r="EJ69" s="716"/>
      <c r="EK69" s="716"/>
      <c r="EL69" s="716"/>
      <c r="EM69" s="716"/>
      <c r="EN69" s="716"/>
      <c r="EO69" s="716"/>
      <c r="EP69" s="716"/>
      <c r="EQ69" s="716"/>
      <c r="ER69" s="716"/>
      <c r="ES69" s="716"/>
      <c r="ET69" s="716"/>
      <c r="EU69" s="716"/>
      <c r="EV69" s="716"/>
      <c r="EW69" s="716"/>
      <c r="EX69" s="716"/>
      <c r="EY69" s="716"/>
      <c r="EZ69" s="716"/>
      <c r="FA69" s="716"/>
      <c r="FB69" s="716"/>
      <c r="FC69" s="716"/>
      <c r="FD69" s="716"/>
      <c r="FE69" s="716"/>
      <c r="FF69" s="716"/>
      <c r="FG69" s="716"/>
      <c r="FH69" s="716"/>
      <c r="FI69" s="716"/>
      <c r="FJ69" s="716"/>
      <c r="FK69" s="716"/>
      <c r="FL69" s="716"/>
      <c r="FM69" s="716"/>
      <c r="FN69" s="716"/>
      <c r="FO69" s="716"/>
      <c r="FP69" s="716"/>
      <c r="FQ69" s="716"/>
      <c r="FR69" s="716"/>
      <c r="FS69" s="716"/>
      <c r="FT69" s="716"/>
      <c r="FU69" s="716"/>
      <c r="FV69" s="716"/>
      <c r="FW69" s="716"/>
      <c r="FX69" s="716"/>
      <c r="FY69" s="716"/>
      <c r="FZ69" s="716"/>
      <c r="GA69" s="716"/>
    </row>
    <row r="70" spans="2:183" ht="15" x14ac:dyDescent="0.25">
      <c r="B70" s="511"/>
      <c r="C70" s="762" t="s">
        <v>580</v>
      </c>
      <c r="D70" s="511"/>
      <c r="E70" s="511"/>
      <c r="G70" s="511" t="s">
        <v>581</v>
      </c>
      <c r="H70" s="511"/>
      <c r="I70" s="511"/>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c r="BZ70" s="716"/>
      <c r="CA70" s="716"/>
      <c r="CB70" s="716"/>
      <c r="CC70" s="716"/>
      <c r="CD70" s="716"/>
      <c r="CE70" s="716"/>
      <c r="CF70" s="716"/>
      <c r="CG70" s="716"/>
      <c r="CH70" s="716"/>
      <c r="CI70" s="716"/>
      <c r="CJ70" s="716"/>
      <c r="CK70" s="716"/>
      <c r="CL70" s="716"/>
      <c r="CM70" s="716"/>
      <c r="CN70" s="716"/>
      <c r="CO70" s="716"/>
      <c r="CP70" s="716"/>
      <c r="CQ70" s="716"/>
      <c r="CR70" s="716"/>
      <c r="CS70" s="716"/>
      <c r="CT70" s="716"/>
      <c r="CU70" s="716"/>
      <c r="CV70" s="716"/>
      <c r="CW70" s="716"/>
      <c r="CX70" s="716"/>
      <c r="CY70" s="716"/>
      <c r="CZ70" s="716"/>
      <c r="DA70" s="716"/>
      <c r="DB70" s="716"/>
      <c r="DC70" s="716"/>
      <c r="DD70" s="716"/>
      <c r="DE70" s="716"/>
      <c r="DF70" s="716"/>
      <c r="DG70" s="716"/>
      <c r="DH70" s="716"/>
      <c r="DI70" s="716"/>
      <c r="DJ70" s="716"/>
      <c r="DK70" s="716"/>
      <c r="DL70" s="716"/>
      <c r="DM70" s="716"/>
      <c r="DN70" s="716"/>
      <c r="DO70" s="716"/>
      <c r="DP70" s="716"/>
      <c r="DQ70" s="716"/>
      <c r="DR70" s="716"/>
      <c r="DS70" s="716"/>
      <c r="DT70" s="716"/>
      <c r="DU70" s="716"/>
      <c r="DV70" s="716"/>
      <c r="DW70" s="716"/>
      <c r="DX70" s="716"/>
      <c r="DY70" s="716"/>
      <c r="DZ70" s="716"/>
      <c r="EA70" s="716"/>
      <c r="EB70" s="716"/>
      <c r="EC70" s="716"/>
      <c r="ED70" s="716"/>
      <c r="EE70" s="716"/>
      <c r="EF70" s="716"/>
      <c r="EG70" s="716"/>
      <c r="EH70" s="716"/>
      <c r="EI70" s="716"/>
      <c r="EJ70" s="716"/>
      <c r="EK70" s="716"/>
      <c r="EL70" s="716"/>
      <c r="EM70" s="716"/>
      <c r="EN70" s="716"/>
      <c r="EO70" s="716"/>
      <c r="EP70" s="716"/>
      <c r="EQ70" s="716"/>
      <c r="ER70" s="716"/>
      <c r="ES70" s="716"/>
      <c r="ET70" s="716"/>
      <c r="EU70" s="716"/>
      <c r="EV70" s="716"/>
      <c r="EW70" s="716"/>
      <c r="EX70" s="716"/>
      <c r="EY70" s="716"/>
      <c r="EZ70" s="716"/>
      <c r="FA70" s="716"/>
      <c r="FB70" s="716"/>
      <c r="FC70" s="716"/>
      <c r="FD70" s="716"/>
      <c r="FE70" s="716"/>
      <c r="FF70" s="716"/>
      <c r="FG70" s="716"/>
      <c r="FH70" s="716"/>
      <c r="FI70" s="716"/>
      <c r="FJ70" s="716"/>
      <c r="FK70" s="716"/>
      <c r="FL70" s="716"/>
      <c r="FM70" s="716"/>
      <c r="FN70" s="716"/>
      <c r="FO70" s="716"/>
      <c r="FP70" s="716"/>
      <c r="FQ70" s="716"/>
      <c r="FR70" s="716"/>
      <c r="FS70" s="716"/>
      <c r="FT70" s="716"/>
      <c r="FU70" s="716"/>
      <c r="FV70" s="716"/>
      <c r="FW70" s="716"/>
      <c r="FX70" s="716"/>
      <c r="FY70" s="716"/>
      <c r="FZ70" s="716"/>
      <c r="GA70" s="716"/>
    </row>
    <row r="71" spans="2:183" x14ac:dyDescent="0.25">
      <c r="I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c r="BZ71" s="716"/>
      <c r="CA71" s="716"/>
      <c r="CB71" s="716"/>
      <c r="CC71" s="716"/>
      <c r="CD71" s="716"/>
      <c r="CE71" s="716"/>
      <c r="CF71" s="716"/>
      <c r="CG71" s="716"/>
      <c r="CH71" s="716"/>
      <c r="CI71" s="716"/>
      <c r="CJ71" s="716"/>
      <c r="CK71" s="716"/>
      <c r="CL71" s="716"/>
      <c r="CM71" s="716"/>
      <c r="CN71" s="716"/>
      <c r="CO71" s="716"/>
      <c r="CP71" s="716"/>
      <c r="CQ71" s="716"/>
      <c r="CR71" s="716"/>
      <c r="CS71" s="716"/>
      <c r="CT71" s="716"/>
      <c r="CU71" s="716"/>
      <c r="CV71" s="716"/>
      <c r="CW71" s="716"/>
      <c r="CX71" s="716"/>
      <c r="CY71" s="716"/>
      <c r="CZ71" s="716"/>
      <c r="DA71" s="716"/>
      <c r="DB71" s="716"/>
      <c r="DC71" s="716"/>
      <c r="DD71" s="716"/>
      <c r="DE71" s="716"/>
      <c r="DF71" s="716"/>
      <c r="DG71" s="716"/>
      <c r="DH71" s="716"/>
      <c r="DI71" s="716"/>
      <c r="DJ71" s="716"/>
      <c r="DK71" s="716"/>
      <c r="DL71" s="716"/>
      <c r="DM71" s="716"/>
      <c r="DN71" s="716"/>
      <c r="DO71" s="716"/>
      <c r="DP71" s="716"/>
      <c r="DQ71" s="716"/>
      <c r="DR71" s="716"/>
      <c r="DS71" s="716"/>
      <c r="DT71" s="716"/>
      <c r="DU71" s="716"/>
      <c r="DV71" s="716"/>
      <c r="DW71" s="716"/>
      <c r="DX71" s="716"/>
      <c r="DY71" s="716"/>
      <c r="DZ71" s="716"/>
      <c r="EA71" s="716"/>
      <c r="EB71" s="716"/>
      <c r="EC71" s="716"/>
      <c r="ED71" s="716"/>
      <c r="EE71" s="716"/>
      <c r="EF71" s="716"/>
      <c r="EG71" s="716"/>
      <c r="EH71" s="716"/>
      <c r="EI71" s="716"/>
      <c r="EJ71" s="716"/>
      <c r="EK71" s="716"/>
      <c r="EL71" s="716"/>
      <c r="EM71" s="716"/>
      <c r="EN71" s="716"/>
      <c r="EO71" s="716"/>
      <c r="EP71" s="716"/>
      <c r="EQ71" s="716"/>
      <c r="ER71" s="716"/>
      <c r="ES71" s="716"/>
      <c r="ET71" s="716"/>
      <c r="EU71" s="716"/>
      <c r="EV71" s="716"/>
      <c r="EW71" s="716"/>
      <c r="EX71" s="716"/>
      <c r="EY71" s="716"/>
      <c r="EZ71" s="716"/>
      <c r="FA71" s="716"/>
      <c r="FB71" s="716"/>
      <c r="FC71" s="716"/>
      <c r="FD71" s="716"/>
      <c r="FE71" s="716"/>
      <c r="FF71" s="716"/>
      <c r="FG71" s="716"/>
      <c r="FH71" s="716"/>
      <c r="FI71" s="716"/>
      <c r="FJ71" s="716"/>
      <c r="FK71" s="716"/>
      <c r="FL71" s="716"/>
      <c r="FM71" s="716"/>
      <c r="FN71" s="716"/>
      <c r="FO71" s="716"/>
      <c r="FP71" s="716"/>
      <c r="FQ71" s="716"/>
      <c r="FR71" s="716"/>
      <c r="FS71" s="716"/>
      <c r="FT71" s="716"/>
      <c r="FU71" s="716"/>
      <c r="FV71" s="716"/>
      <c r="FW71" s="716"/>
      <c r="FX71" s="716"/>
      <c r="FY71" s="716"/>
      <c r="FZ71" s="716"/>
      <c r="GA71" s="716"/>
    </row>
    <row r="72" spans="2:183" x14ac:dyDescent="0.25">
      <c r="I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c r="BZ72" s="716"/>
      <c r="CA72" s="716"/>
      <c r="CB72" s="716"/>
      <c r="CC72" s="716"/>
      <c r="CD72" s="716"/>
      <c r="CE72" s="716"/>
      <c r="CF72" s="716"/>
      <c r="CG72" s="716"/>
      <c r="CH72" s="716"/>
      <c r="CI72" s="716"/>
      <c r="CJ72" s="716"/>
      <c r="CK72" s="716"/>
      <c r="CL72" s="716"/>
      <c r="CM72" s="716"/>
      <c r="CN72" s="716"/>
      <c r="CO72" s="716"/>
      <c r="CP72" s="716"/>
      <c r="CQ72" s="716"/>
      <c r="CR72" s="716"/>
      <c r="CS72" s="716"/>
      <c r="CT72" s="716"/>
      <c r="CU72" s="716"/>
      <c r="CV72" s="716"/>
      <c r="CW72" s="716"/>
      <c r="CX72" s="716"/>
      <c r="CY72" s="716"/>
      <c r="CZ72" s="716"/>
      <c r="DA72" s="716"/>
      <c r="DB72" s="716"/>
      <c r="DC72" s="716"/>
      <c r="DD72" s="716"/>
      <c r="DE72" s="716"/>
      <c r="DF72" s="716"/>
      <c r="DG72" s="716"/>
      <c r="DH72" s="716"/>
      <c r="DI72" s="716"/>
      <c r="DJ72" s="716"/>
      <c r="DK72" s="716"/>
      <c r="DL72" s="716"/>
      <c r="DM72" s="716"/>
      <c r="DN72" s="716"/>
      <c r="DO72" s="716"/>
      <c r="DP72" s="716"/>
      <c r="DQ72" s="716"/>
      <c r="DR72" s="716"/>
      <c r="DS72" s="716"/>
      <c r="DT72" s="716"/>
      <c r="DU72" s="716"/>
      <c r="DV72" s="716"/>
      <c r="DW72" s="716"/>
      <c r="DX72" s="716"/>
      <c r="DY72" s="716"/>
      <c r="DZ72" s="716"/>
      <c r="EA72" s="716"/>
      <c r="EB72" s="716"/>
      <c r="EC72" s="716"/>
      <c r="ED72" s="716"/>
      <c r="EE72" s="716"/>
      <c r="EF72" s="716"/>
      <c r="EG72" s="716"/>
      <c r="EH72" s="716"/>
      <c r="EI72" s="716"/>
      <c r="EJ72" s="716"/>
      <c r="EK72" s="716"/>
      <c r="EL72" s="716"/>
      <c r="EM72" s="716"/>
      <c r="EN72" s="716"/>
      <c r="EO72" s="716"/>
      <c r="EP72" s="716"/>
      <c r="EQ72" s="716"/>
      <c r="ER72" s="716"/>
      <c r="ES72" s="716"/>
      <c r="ET72" s="716"/>
      <c r="EU72" s="716"/>
      <c r="EV72" s="716"/>
      <c r="EW72" s="716"/>
      <c r="EX72" s="716"/>
      <c r="EY72" s="716"/>
      <c r="EZ72" s="716"/>
      <c r="FA72" s="716"/>
      <c r="FB72" s="716"/>
      <c r="FC72" s="716"/>
      <c r="FD72" s="716"/>
      <c r="FE72" s="716"/>
      <c r="FF72" s="716"/>
      <c r="FG72" s="716"/>
      <c r="FH72" s="716"/>
      <c r="FI72" s="716"/>
      <c r="FJ72" s="716"/>
      <c r="FK72" s="716"/>
      <c r="FL72" s="716"/>
      <c r="FM72" s="716"/>
      <c r="FN72" s="716"/>
      <c r="FO72" s="716"/>
      <c r="FP72" s="716"/>
      <c r="FQ72" s="716"/>
      <c r="FR72" s="716"/>
      <c r="FS72" s="716"/>
      <c r="FT72" s="716"/>
      <c r="FU72" s="716"/>
      <c r="FV72" s="716"/>
      <c r="FW72" s="716"/>
      <c r="FX72" s="716"/>
      <c r="FY72" s="716"/>
      <c r="FZ72" s="716"/>
      <c r="GA72" s="716"/>
    </row>
    <row r="73" spans="2:183" x14ac:dyDescent="0.25">
      <c r="I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c r="CU73" s="716"/>
      <c r="CV73" s="716"/>
      <c r="CW73" s="716"/>
      <c r="CX73" s="716"/>
      <c r="CY73" s="716"/>
      <c r="CZ73" s="716"/>
      <c r="DA73" s="716"/>
      <c r="DB73" s="716"/>
      <c r="DC73" s="716"/>
      <c r="DD73" s="716"/>
      <c r="DE73" s="716"/>
      <c r="DF73" s="716"/>
      <c r="DG73" s="716"/>
      <c r="DH73" s="716"/>
      <c r="DI73" s="716"/>
      <c r="DJ73" s="716"/>
      <c r="DK73" s="716"/>
      <c r="DL73" s="716"/>
      <c r="DM73" s="716"/>
      <c r="DN73" s="716"/>
      <c r="DO73" s="716"/>
      <c r="DP73" s="716"/>
      <c r="DQ73" s="716"/>
      <c r="DR73" s="716"/>
      <c r="DS73" s="716"/>
      <c r="DT73" s="716"/>
      <c r="DU73" s="716"/>
      <c r="DV73" s="716"/>
      <c r="DW73" s="716"/>
      <c r="DX73" s="716"/>
      <c r="DY73" s="716"/>
      <c r="DZ73" s="716"/>
      <c r="EA73" s="716"/>
      <c r="EB73" s="716"/>
      <c r="EC73" s="716"/>
      <c r="ED73" s="716"/>
      <c r="EE73" s="716"/>
      <c r="EF73" s="716"/>
      <c r="EG73" s="716"/>
      <c r="EH73" s="716"/>
      <c r="EI73" s="716"/>
      <c r="EJ73" s="716"/>
      <c r="EK73" s="716"/>
      <c r="EL73" s="716"/>
      <c r="EM73" s="716"/>
      <c r="EN73" s="716"/>
      <c r="EO73" s="716"/>
      <c r="EP73" s="716"/>
      <c r="EQ73" s="716"/>
      <c r="ER73" s="716"/>
      <c r="ES73" s="716"/>
      <c r="ET73" s="716"/>
      <c r="EU73" s="716"/>
      <c r="EV73" s="716"/>
      <c r="EW73" s="716"/>
      <c r="EX73" s="716"/>
      <c r="EY73" s="716"/>
      <c r="EZ73" s="716"/>
      <c r="FA73" s="716"/>
      <c r="FB73" s="716"/>
      <c r="FC73" s="716"/>
      <c r="FD73" s="716"/>
      <c r="FE73" s="716"/>
      <c r="FF73" s="716"/>
      <c r="FG73" s="716"/>
      <c r="FH73" s="716"/>
      <c r="FI73" s="716"/>
      <c r="FJ73" s="716"/>
      <c r="FK73" s="716"/>
      <c r="FL73" s="716"/>
      <c r="FM73" s="716"/>
      <c r="FN73" s="716"/>
      <c r="FO73" s="716"/>
      <c r="FP73" s="716"/>
      <c r="FQ73" s="716"/>
      <c r="FR73" s="716"/>
      <c r="FS73" s="716"/>
      <c r="FT73" s="716"/>
      <c r="FU73" s="716"/>
      <c r="FV73" s="716"/>
      <c r="FW73" s="716"/>
      <c r="FX73" s="716"/>
      <c r="FY73" s="716"/>
      <c r="FZ73" s="716"/>
      <c r="GA73" s="716"/>
    </row>
    <row r="74" spans="2:183" x14ac:dyDescent="0.25">
      <c r="I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6"/>
      <c r="DC74" s="716"/>
      <c r="DD74" s="716"/>
      <c r="DE74" s="716"/>
      <c r="DF74" s="716"/>
      <c r="DG74" s="716"/>
      <c r="DH74" s="716"/>
      <c r="DI74" s="716"/>
      <c r="DJ74" s="716"/>
      <c r="DK74" s="716"/>
      <c r="DL74" s="716"/>
      <c r="DM74" s="716"/>
      <c r="DN74" s="716"/>
      <c r="DO74" s="716"/>
      <c r="DP74" s="716"/>
      <c r="DQ74" s="716"/>
      <c r="DR74" s="716"/>
      <c r="DS74" s="716"/>
      <c r="DT74" s="716"/>
      <c r="DU74" s="716"/>
      <c r="DV74" s="716"/>
      <c r="DW74" s="716"/>
      <c r="DX74" s="716"/>
      <c r="DY74" s="716"/>
      <c r="DZ74" s="716"/>
      <c r="EA74" s="716"/>
      <c r="EB74" s="716"/>
      <c r="EC74" s="716"/>
      <c r="ED74" s="716"/>
      <c r="EE74" s="716"/>
      <c r="EF74" s="716"/>
      <c r="EG74" s="716"/>
      <c r="EH74" s="716"/>
      <c r="EI74" s="716"/>
      <c r="EJ74" s="716"/>
      <c r="EK74" s="716"/>
      <c r="EL74" s="716"/>
      <c r="EM74" s="716"/>
      <c r="EN74" s="716"/>
      <c r="EO74" s="716"/>
      <c r="EP74" s="716"/>
      <c r="EQ74" s="716"/>
      <c r="ER74" s="716"/>
      <c r="ES74" s="716"/>
      <c r="ET74" s="716"/>
      <c r="EU74" s="716"/>
      <c r="EV74" s="716"/>
      <c r="EW74" s="716"/>
      <c r="EX74" s="716"/>
      <c r="EY74" s="716"/>
      <c r="EZ74" s="716"/>
      <c r="FA74" s="716"/>
      <c r="FB74" s="716"/>
      <c r="FC74" s="716"/>
      <c r="FD74" s="716"/>
      <c r="FE74" s="716"/>
      <c r="FF74" s="716"/>
      <c r="FG74" s="716"/>
      <c r="FH74" s="716"/>
      <c r="FI74" s="716"/>
      <c r="FJ74" s="716"/>
      <c r="FK74" s="716"/>
      <c r="FL74" s="716"/>
      <c r="FM74" s="716"/>
      <c r="FN74" s="716"/>
      <c r="FO74" s="716"/>
      <c r="FP74" s="716"/>
      <c r="FQ74" s="716"/>
      <c r="FR74" s="716"/>
      <c r="FS74" s="716"/>
      <c r="FT74" s="716"/>
      <c r="FU74" s="716"/>
      <c r="FV74" s="716"/>
      <c r="FW74" s="716"/>
      <c r="FX74" s="716"/>
      <c r="FY74" s="716"/>
      <c r="FZ74" s="716"/>
      <c r="GA74" s="716"/>
    </row>
    <row r="75" spans="2:183" x14ac:dyDescent="0.25">
      <c r="I75" s="716"/>
      <c r="AG75" s="716"/>
      <c r="AH75" s="716"/>
      <c r="AI75" s="716"/>
      <c r="AJ75" s="716"/>
      <c r="AK75" s="716"/>
      <c r="AL75" s="716"/>
      <c r="AM75" s="716"/>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6"/>
      <c r="BJ75" s="716"/>
      <c r="BK75" s="716"/>
      <c r="BL75" s="716"/>
      <c r="BM75" s="716"/>
      <c r="BN75" s="716"/>
      <c r="BO75" s="716"/>
      <c r="BP75" s="716"/>
      <c r="BQ75" s="716"/>
      <c r="BR75" s="716"/>
      <c r="BS75" s="716"/>
      <c r="BT75" s="716"/>
      <c r="BU75" s="716"/>
      <c r="BV75" s="716"/>
      <c r="BW75" s="716"/>
      <c r="BX75" s="716"/>
      <c r="BY75" s="716"/>
      <c r="BZ75" s="716"/>
      <c r="CA75" s="716"/>
      <c r="CB75" s="716"/>
      <c r="CC75" s="716"/>
      <c r="CD75" s="716"/>
      <c r="CE75" s="716"/>
      <c r="CF75" s="716"/>
      <c r="CG75" s="716"/>
      <c r="CH75" s="716"/>
      <c r="CI75" s="716"/>
      <c r="CJ75" s="716"/>
      <c r="CK75" s="716"/>
      <c r="CL75" s="716"/>
      <c r="CM75" s="716"/>
      <c r="CN75" s="716"/>
      <c r="CO75" s="716"/>
      <c r="CP75" s="716"/>
      <c r="CQ75" s="716"/>
      <c r="CR75" s="716"/>
      <c r="CS75" s="716"/>
      <c r="CT75" s="716"/>
      <c r="CU75" s="716"/>
      <c r="CV75" s="716"/>
      <c r="CW75" s="716"/>
      <c r="CX75" s="716"/>
      <c r="CY75" s="716"/>
      <c r="CZ75" s="716"/>
      <c r="DA75" s="716"/>
      <c r="DB75" s="716"/>
      <c r="DC75" s="716"/>
      <c r="DD75" s="716"/>
      <c r="DE75" s="716"/>
      <c r="DF75" s="716"/>
      <c r="DG75" s="716"/>
      <c r="DH75" s="716"/>
      <c r="DI75" s="716"/>
      <c r="DJ75" s="716"/>
      <c r="DK75" s="716"/>
      <c r="DL75" s="716"/>
      <c r="DM75" s="716"/>
      <c r="DN75" s="716"/>
      <c r="DO75" s="716"/>
      <c r="DP75" s="716"/>
      <c r="DQ75" s="716"/>
      <c r="DR75" s="716"/>
      <c r="DS75" s="716"/>
      <c r="DT75" s="716"/>
      <c r="DU75" s="716"/>
      <c r="DV75" s="716"/>
      <c r="DW75" s="716"/>
      <c r="DX75" s="716"/>
      <c r="DY75" s="716"/>
      <c r="DZ75" s="716"/>
      <c r="EA75" s="716"/>
      <c r="EB75" s="716"/>
      <c r="EC75" s="716"/>
      <c r="ED75" s="716"/>
      <c r="EE75" s="716"/>
      <c r="EF75" s="716"/>
      <c r="EG75" s="716"/>
      <c r="EH75" s="716"/>
      <c r="EI75" s="716"/>
      <c r="EJ75" s="716"/>
      <c r="EK75" s="716"/>
      <c r="EL75" s="716"/>
      <c r="EM75" s="716"/>
      <c r="EN75" s="716"/>
      <c r="EO75" s="716"/>
      <c r="EP75" s="716"/>
      <c r="EQ75" s="716"/>
      <c r="ER75" s="716"/>
      <c r="ES75" s="716"/>
      <c r="ET75" s="716"/>
      <c r="EU75" s="716"/>
      <c r="EV75" s="716"/>
      <c r="EW75" s="716"/>
      <c r="EX75" s="716"/>
      <c r="EY75" s="716"/>
      <c r="EZ75" s="716"/>
      <c r="FA75" s="716"/>
      <c r="FB75" s="716"/>
      <c r="FC75" s="716"/>
      <c r="FD75" s="716"/>
      <c r="FE75" s="716"/>
      <c r="FF75" s="716"/>
      <c r="FG75" s="716"/>
      <c r="FH75" s="716"/>
      <c r="FI75" s="716"/>
      <c r="FJ75" s="716"/>
      <c r="FK75" s="716"/>
      <c r="FL75" s="716"/>
      <c r="FM75" s="716"/>
      <c r="FN75" s="716"/>
      <c r="FO75" s="716"/>
      <c r="FP75" s="716"/>
      <c r="FQ75" s="716"/>
      <c r="FR75" s="716"/>
      <c r="FS75" s="716"/>
      <c r="FT75" s="716"/>
      <c r="FU75" s="716"/>
      <c r="FV75" s="716"/>
      <c r="FW75" s="716"/>
      <c r="FX75" s="716"/>
      <c r="FY75" s="716"/>
      <c r="FZ75" s="716"/>
      <c r="GA75" s="716"/>
    </row>
    <row r="76" spans="2:183" x14ac:dyDescent="0.25">
      <c r="I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6"/>
      <c r="DK76" s="716"/>
      <c r="DL76" s="716"/>
      <c r="DM76" s="716"/>
      <c r="DN76" s="716"/>
      <c r="DO76" s="716"/>
      <c r="DP76" s="716"/>
      <c r="DQ76" s="716"/>
      <c r="DR76" s="716"/>
      <c r="DS76" s="716"/>
      <c r="DT76" s="716"/>
      <c r="DU76" s="716"/>
      <c r="DV76" s="716"/>
      <c r="DW76" s="716"/>
      <c r="DX76" s="716"/>
      <c r="DY76" s="716"/>
      <c r="DZ76" s="716"/>
      <c r="EA76" s="716"/>
      <c r="EB76" s="716"/>
      <c r="EC76" s="716"/>
      <c r="ED76" s="716"/>
      <c r="EE76" s="716"/>
      <c r="EF76" s="716"/>
      <c r="EG76" s="716"/>
      <c r="EH76" s="716"/>
      <c r="EI76" s="716"/>
      <c r="EJ76" s="716"/>
      <c r="EK76" s="716"/>
      <c r="EL76" s="716"/>
      <c r="EM76" s="716"/>
      <c r="EN76" s="716"/>
      <c r="EO76" s="716"/>
      <c r="EP76" s="716"/>
      <c r="EQ76" s="716"/>
      <c r="ER76" s="716"/>
      <c r="ES76" s="716"/>
      <c r="ET76" s="716"/>
      <c r="EU76" s="716"/>
      <c r="EV76" s="716"/>
      <c r="EW76" s="716"/>
      <c r="EX76" s="716"/>
      <c r="EY76" s="716"/>
      <c r="EZ76" s="716"/>
      <c r="FA76" s="716"/>
      <c r="FB76" s="716"/>
      <c r="FC76" s="716"/>
      <c r="FD76" s="716"/>
      <c r="FE76" s="716"/>
      <c r="FF76" s="716"/>
      <c r="FG76" s="716"/>
      <c r="FH76" s="716"/>
      <c r="FI76" s="716"/>
      <c r="FJ76" s="716"/>
      <c r="FK76" s="716"/>
      <c r="FL76" s="716"/>
      <c r="FM76" s="716"/>
      <c r="FN76" s="716"/>
      <c r="FO76" s="716"/>
      <c r="FP76" s="716"/>
      <c r="FQ76" s="716"/>
      <c r="FR76" s="716"/>
      <c r="FS76" s="716"/>
      <c r="FT76" s="716"/>
      <c r="FU76" s="716"/>
      <c r="FV76" s="716"/>
      <c r="FW76" s="716"/>
      <c r="FX76" s="716"/>
      <c r="FY76" s="716"/>
      <c r="FZ76" s="716"/>
      <c r="GA76" s="716"/>
    </row>
    <row r="83" spans="2:183" x14ac:dyDescent="0.25">
      <c r="B83" s="718" t="s">
        <v>582</v>
      </c>
      <c r="I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6"/>
      <c r="BJ83" s="716"/>
      <c r="BK83" s="716"/>
      <c r="BL83" s="716"/>
      <c r="BM83" s="716"/>
      <c r="BN83" s="716"/>
      <c r="BO83" s="716"/>
      <c r="BP83" s="716"/>
      <c r="BQ83" s="716"/>
      <c r="BR83" s="716"/>
      <c r="BS83" s="716"/>
      <c r="BT83" s="716"/>
      <c r="BU83" s="716"/>
      <c r="BV83" s="716"/>
      <c r="BW83" s="716"/>
      <c r="BX83" s="716"/>
      <c r="BY83" s="716"/>
      <c r="BZ83" s="716"/>
      <c r="CA83" s="716"/>
      <c r="CB83" s="716"/>
      <c r="CC83" s="716"/>
      <c r="CD83" s="716"/>
      <c r="CE83" s="716"/>
      <c r="CF83" s="716"/>
      <c r="CG83" s="716"/>
      <c r="CH83" s="716"/>
      <c r="CI83" s="716"/>
      <c r="CJ83" s="716"/>
      <c r="CK83" s="716"/>
      <c r="CL83" s="716"/>
      <c r="CM83" s="716"/>
      <c r="CN83" s="716"/>
      <c r="CO83" s="716"/>
      <c r="CP83" s="716"/>
      <c r="CQ83" s="716"/>
      <c r="CR83" s="716"/>
      <c r="CS83" s="716"/>
      <c r="CT83" s="716"/>
      <c r="CU83" s="716"/>
      <c r="CV83" s="716"/>
      <c r="CW83" s="716"/>
      <c r="CX83" s="716"/>
      <c r="CY83" s="716"/>
      <c r="CZ83" s="716"/>
      <c r="DA83" s="716"/>
      <c r="DB83" s="716"/>
      <c r="DC83" s="716"/>
      <c r="DD83" s="716"/>
      <c r="DE83" s="716"/>
      <c r="DF83" s="716"/>
      <c r="DG83" s="716"/>
      <c r="DH83" s="716"/>
      <c r="DI83" s="716"/>
      <c r="DJ83" s="716"/>
      <c r="DK83" s="716"/>
      <c r="DL83" s="716"/>
      <c r="DM83" s="716"/>
      <c r="DN83" s="716"/>
      <c r="DO83" s="716"/>
      <c r="DP83" s="716"/>
      <c r="DQ83" s="716"/>
      <c r="DR83" s="716"/>
      <c r="DS83" s="716"/>
      <c r="DT83" s="716"/>
      <c r="DU83" s="716"/>
      <c r="DV83" s="716"/>
      <c r="DW83" s="716"/>
      <c r="DX83" s="716"/>
      <c r="DY83" s="716"/>
      <c r="DZ83" s="716"/>
      <c r="EA83" s="716"/>
      <c r="EB83" s="716"/>
      <c r="EC83" s="716"/>
      <c r="ED83" s="716"/>
      <c r="EE83" s="716"/>
      <c r="EF83" s="716"/>
      <c r="EG83" s="716"/>
      <c r="EH83" s="716"/>
      <c r="EI83" s="716"/>
      <c r="EJ83" s="716"/>
      <c r="EK83" s="716"/>
      <c r="EL83" s="716"/>
      <c r="EM83" s="716"/>
      <c r="EN83" s="716"/>
      <c r="EO83" s="716"/>
      <c r="EP83" s="716"/>
      <c r="EQ83" s="716"/>
      <c r="ER83" s="716"/>
      <c r="ES83" s="716"/>
      <c r="ET83" s="716"/>
      <c r="EU83" s="716"/>
      <c r="EV83" s="716"/>
      <c r="EW83" s="716"/>
      <c r="EX83" s="716"/>
      <c r="EY83" s="716"/>
      <c r="EZ83" s="716"/>
      <c r="FA83" s="716"/>
      <c r="FB83" s="716"/>
      <c r="FC83" s="716"/>
      <c r="FD83" s="716"/>
      <c r="FE83" s="716"/>
      <c r="FF83" s="716"/>
      <c r="FG83" s="716"/>
      <c r="FH83" s="716"/>
      <c r="FI83" s="716"/>
      <c r="FJ83" s="716"/>
      <c r="FK83" s="716"/>
      <c r="FL83" s="716"/>
      <c r="FM83" s="716"/>
      <c r="FN83" s="716"/>
      <c r="FO83" s="716"/>
      <c r="FP83" s="716"/>
      <c r="FQ83" s="716"/>
      <c r="FR83" s="716"/>
      <c r="FS83" s="716"/>
      <c r="FT83" s="716"/>
      <c r="FU83" s="716"/>
      <c r="FV83" s="716"/>
      <c r="FW83" s="716"/>
      <c r="FX83" s="716"/>
      <c r="FY83" s="716"/>
      <c r="FZ83" s="716"/>
      <c r="GA83" s="716"/>
    </row>
    <row r="84" spans="2:183" x14ac:dyDescent="0.25">
      <c r="B84" s="718"/>
      <c r="I84" s="716"/>
      <c r="AG84" s="716"/>
      <c r="AH84" s="716"/>
      <c r="AI84" s="716"/>
      <c r="AJ84" s="716"/>
      <c r="AK84" s="716"/>
      <c r="AL84" s="716"/>
      <c r="AM84" s="716"/>
      <c r="AN84" s="716"/>
      <c r="AO84" s="716"/>
      <c r="AP84" s="716"/>
      <c r="AQ84" s="716"/>
      <c r="AR84" s="716"/>
      <c r="AS84" s="716"/>
      <c r="AT84" s="716"/>
      <c r="AU84" s="716"/>
      <c r="AV84" s="716"/>
      <c r="AW84" s="716"/>
      <c r="AX84" s="716"/>
      <c r="AY84" s="716"/>
      <c r="AZ84" s="716"/>
      <c r="BA84" s="716"/>
      <c r="BB84" s="716"/>
      <c r="BC84" s="716"/>
      <c r="BD84" s="716"/>
      <c r="BE84" s="716"/>
      <c r="BF84" s="716"/>
      <c r="BG84" s="716"/>
      <c r="BH84" s="716"/>
      <c r="BI84" s="716"/>
      <c r="BJ84" s="716"/>
      <c r="BK84" s="716"/>
      <c r="BL84" s="716"/>
      <c r="BM84" s="716"/>
      <c r="BN84" s="716"/>
      <c r="BO84" s="716"/>
      <c r="BP84" s="716"/>
      <c r="BQ84" s="716"/>
      <c r="BR84" s="716"/>
      <c r="BS84" s="716"/>
      <c r="BT84" s="716"/>
      <c r="BU84" s="716"/>
      <c r="BV84" s="716"/>
      <c r="BW84" s="716"/>
      <c r="BX84" s="716"/>
      <c r="BY84" s="716"/>
      <c r="BZ84" s="716"/>
      <c r="CA84" s="716"/>
      <c r="CB84" s="716"/>
      <c r="CC84" s="716"/>
      <c r="CD84" s="716"/>
      <c r="CE84" s="716"/>
      <c r="CF84" s="716"/>
      <c r="CG84" s="716"/>
      <c r="CH84" s="716"/>
      <c r="CI84" s="716"/>
      <c r="CJ84" s="716"/>
      <c r="CK84" s="716"/>
      <c r="CL84" s="716"/>
      <c r="CM84" s="716"/>
      <c r="CN84" s="716"/>
      <c r="CO84" s="716"/>
      <c r="CP84" s="716"/>
      <c r="CQ84" s="716"/>
      <c r="CR84" s="716"/>
      <c r="CS84" s="716"/>
      <c r="CT84" s="716"/>
      <c r="CU84" s="716"/>
      <c r="CV84" s="716"/>
      <c r="CW84" s="716"/>
      <c r="CX84" s="716"/>
      <c r="CY84" s="716"/>
      <c r="CZ84" s="716"/>
      <c r="DA84" s="716"/>
      <c r="DB84" s="716"/>
      <c r="DC84" s="716"/>
      <c r="DD84" s="716"/>
      <c r="DE84" s="716"/>
      <c r="DF84" s="716"/>
      <c r="DG84" s="716"/>
      <c r="DH84" s="716"/>
      <c r="DI84" s="716"/>
      <c r="DJ84" s="716"/>
      <c r="DK84" s="716"/>
      <c r="DL84" s="716"/>
      <c r="DM84" s="716"/>
      <c r="DN84" s="716"/>
      <c r="DO84" s="716"/>
      <c r="DP84" s="716"/>
      <c r="DQ84" s="716"/>
      <c r="DR84" s="716"/>
      <c r="DS84" s="716"/>
      <c r="DT84" s="716"/>
      <c r="DU84" s="716"/>
      <c r="DV84" s="716"/>
      <c r="DW84" s="716"/>
      <c r="DX84" s="716"/>
      <c r="DY84" s="716"/>
      <c r="DZ84" s="716"/>
      <c r="EA84" s="716"/>
      <c r="EB84" s="716"/>
      <c r="EC84" s="716"/>
      <c r="ED84" s="716"/>
      <c r="EE84" s="716"/>
      <c r="EF84" s="716"/>
      <c r="EG84" s="716"/>
      <c r="EH84" s="716"/>
      <c r="EI84" s="716"/>
      <c r="EJ84" s="716"/>
      <c r="EK84" s="716"/>
      <c r="EL84" s="716"/>
      <c r="EM84" s="716"/>
      <c r="EN84" s="716"/>
      <c r="EO84" s="716"/>
      <c r="EP84" s="716"/>
      <c r="EQ84" s="716"/>
      <c r="ER84" s="716"/>
      <c r="ES84" s="716"/>
      <c r="ET84" s="716"/>
      <c r="EU84" s="716"/>
      <c r="EV84" s="716"/>
      <c r="EW84" s="716"/>
      <c r="EX84" s="716"/>
      <c r="EY84" s="716"/>
      <c r="EZ84" s="716"/>
      <c r="FA84" s="716"/>
      <c r="FB84" s="716"/>
      <c r="FC84" s="716"/>
      <c r="FD84" s="716"/>
      <c r="FE84" s="716"/>
      <c r="FF84" s="716"/>
      <c r="FG84" s="716"/>
      <c r="FH84" s="716"/>
      <c r="FI84" s="716"/>
      <c r="FJ84" s="716"/>
      <c r="FK84" s="716"/>
      <c r="FL84" s="716"/>
      <c r="FM84" s="716"/>
      <c r="FN84" s="716"/>
      <c r="FO84" s="716"/>
      <c r="FP84" s="716"/>
      <c r="FQ84" s="716"/>
      <c r="FR84" s="716"/>
      <c r="FS84" s="716"/>
      <c r="FT84" s="716"/>
      <c r="FU84" s="716"/>
      <c r="FV84" s="716"/>
      <c r="FW84" s="716"/>
      <c r="FX84" s="716"/>
      <c r="FY84" s="716"/>
      <c r="FZ84" s="716"/>
      <c r="GA84" s="716"/>
    </row>
    <row r="85" spans="2:183" x14ac:dyDescent="0.25">
      <c r="B85" s="763" t="s">
        <v>664</v>
      </c>
      <c r="G85" s="810" t="s">
        <v>665</v>
      </c>
      <c r="H85" s="763" t="s">
        <v>666</v>
      </c>
      <c r="J85" s="810" t="s">
        <v>665</v>
      </c>
      <c r="AN85" s="1390" t="s">
        <v>652</v>
      </c>
      <c r="AO85" s="1391"/>
      <c r="AP85" s="1391"/>
      <c r="AQ85" s="1391"/>
      <c r="AR85" s="1392"/>
    </row>
    <row r="86" spans="2:183" x14ac:dyDescent="0.25">
      <c r="B86" s="763" t="s">
        <v>660</v>
      </c>
      <c r="E86" s="1475" t="s">
        <v>583</v>
      </c>
      <c r="F86" s="1475"/>
      <c r="I86" s="716"/>
      <c r="AG86" s="716"/>
      <c r="AH86" s="716"/>
      <c r="AI86" s="716"/>
      <c r="AJ86" s="716"/>
      <c r="AK86" s="716"/>
      <c r="AL86" s="716"/>
      <c r="AM86" s="716"/>
      <c r="AN86" s="1396"/>
      <c r="AO86" s="1010"/>
      <c r="AP86" s="1010"/>
      <c r="AQ86" s="1010"/>
      <c r="AR86" s="1397"/>
      <c r="AS86" s="716"/>
      <c r="AT86" s="716"/>
      <c r="AU86" s="716"/>
      <c r="AV86" s="716"/>
      <c r="AW86" s="716"/>
      <c r="AX86" s="716"/>
      <c r="AY86" s="716"/>
      <c r="AZ86" s="716"/>
      <c r="BA86" s="716"/>
      <c r="BB86" s="716"/>
      <c r="BC86" s="716"/>
      <c r="BD86" s="716"/>
      <c r="BE86" s="716"/>
      <c r="BF86" s="716"/>
      <c r="BG86" s="716"/>
      <c r="BH86" s="716"/>
      <c r="BI86" s="716"/>
      <c r="BJ86" s="716"/>
      <c r="BK86" s="716"/>
      <c r="BL86" s="716"/>
      <c r="BM86" s="716"/>
      <c r="BN86" s="716"/>
      <c r="BO86" s="716"/>
      <c r="BP86" s="716"/>
      <c r="BQ86" s="716"/>
      <c r="BR86" s="716"/>
      <c r="BS86" s="716"/>
      <c r="BT86" s="716"/>
      <c r="BU86" s="716"/>
      <c r="BV86" s="716"/>
      <c r="BW86" s="716"/>
      <c r="BX86" s="716"/>
      <c r="BY86" s="716"/>
      <c r="BZ86" s="716"/>
      <c r="CA86" s="716"/>
      <c r="CB86" s="716"/>
      <c r="CC86" s="716"/>
      <c r="CD86" s="716"/>
      <c r="CE86" s="716"/>
      <c r="CF86" s="716"/>
      <c r="CG86" s="716"/>
      <c r="CH86" s="716"/>
      <c r="CI86" s="716"/>
      <c r="CJ86" s="716"/>
      <c r="CK86" s="716"/>
      <c r="CL86" s="716"/>
      <c r="CM86" s="716"/>
      <c r="CN86" s="716"/>
      <c r="CO86" s="716"/>
      <c r="CP86" s="716"/>
      <c r="CQ86" s="716"/>
      <c r="CR86" s="716"/>
      <c r="CS86" s="716"/>
      <c r="CT86" s="716"/>
      <c r="CU86" s="716"/>
      <c r="CV86" s="716"/>
      <c r="CW86" s="716"/>
      <c r="CX86" s="716"/>
      <c r="CY86" s="716"/>
      <c r="CZ86" s="716"/>
      <c r="DA86" s="716"/>
      <c r="DB86" s="716"/>
      <c r="DC86" s="716"/>
      <c r="DD86" s="716"/>
      <c r="DE86" s="716"/>
      <c r="DF86" s="716"/>
      <c r="DG86" s="716"/>
      <c r="DH86" s="716"/>
      <c r="DI86" s="716"/>
      <c r="DJ86" s="716"/>
      <c r="DK86" s="716"/>
      <c r="DL86" s="716"/>
      <c r="DM86" s="716"/>
      <c r="DN86" s="716"/>
      <c r="DO86" s="716"/>
      <c r="DP86" s="716"/>
      <c r="DQ86" s="716"/>
      <c r="DR86" s="716"/>
      <c r="DS86" s="716"/>
      <c r="DT86" s="716"/>
      <c r="DU86" s="716"/>
      <c r="DV86" s="716"/>
      <c r="DW86" s="716"/>
      <c r="DX86" s="716"/>
      <c r="DY86" s="716"/>
      <c r="DZ86" s="716"/>
      <c r="EA86" s="716"/>
      <c r="EB86" s="716"/>
      <c r="EC86" s="716"/>
      <c r="ED86" s="716"/>
      <c r="EE86" s="716"/>
      <c r="EF86" s="716"/>
      <c r="EG86" s="716"/>
      <c r="EH86" s="716"/>
      <c r="EI86" s="716"/>
      <c r="EJ86" s="716"/>
      <c r="EK86" s="716"/>
      <c r="EL86" s="716"/>
      <c r="EM86" s="716"/>
      <c r="EN86" s="716"/>
      <c r="EO86" s="716"/>
      <c r="EP86" s="716"/>
      <c r="EQ86" s="716"/>
      <c r="ER86" s="716"/>
      <c r="ES86" s="716"/>
      <c r="ET86" s="716"/>
      <c r="EU86" s="716"/>
      <c r="EV86" s="716"/>
      <c r="EW86" s="716"/>
      <c r="EX86" s="716"/>
      <c r="EY86" s="716"/>
      <c r="EZ86" s="716"/>
      <c r="FA86" s="716"/>
      <c r="FB86" s="716"/>
      <c r="FC86" s="716"/>
      <c r="FD86" s="716"/>
      <c r="FE86" s="716"/>
      <c r="FF86" s="716"/>
      <c r="FG86" s="716"/>
      <c r="FH86" s="716"/>
      <c r="FI86" s="716"/>
      <c r="FJ86" s="716"/>
      <c r="FK86" s="716"/>
      <c r="FL86" s="716"/>
      <c r="FM86" s="716"/>
      <c r="FN86" s="716"/>
      <c r="FO86" s="716"/>
      <c r="FP86" s="716"/>
      <c r="FQ86" s="716"/>
      <c r="FR86" s="716"/>
      <c r="FS86" s="716"/>
      <c r="FT86" s="716"/>
      <c r="FU86" s="716"/>
      <c r="FV86" s="716"/>
      <c r="FW86" s="716"/>
      <c r="FX86" s="716"/>
      <c r="FY86" s="716"/>
      <c r="FZ86" s="716"/>
      <c r="GA86" s="716"/>
    </row>
    <row r="87" spans="2:183" x14ac:dyDescent="0.25">
      <c r="B87" s="763" t="s">
        <v>661</v>
      </c>
      <c r="D87" s="1476" t="s">
        <v>575</v>
      </c>
      <c r="E87" s="1476"/>
      <c r="F87" s="1476"/>
      <c r="H87" s="29"/>
      <c r="I87" s="716"/>
      <c r="AG87" s="716"/>
      <c r="AH87" s="716"/>
      <c r="AI87" s="716"/>
      <c r="AJ87" s="716"/>
      <c r="AK87" s="716"/>
      <c r="AL87" s="716"/>
      <c r="AM87" s="716"/>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6"/>
      <c r="BJ87" s="716"/>
      <c r="BK87" s="716"/>
      <c r="BL87" s="716"/>
      <c r="BM87" s="716"/>
      <c r="BN87" s="716"/>
      <c r="BO87" s="716"/>
      <c r="BP87" s="716"/>
      <c r="BQ87" s="716"/>
      <c r="BR87" s="716"/>
      <c r="BS87" s="716"/>
      <c r="BT87" s="716"/>
      <c r="BU87" s="716"/>
      <c r="BV87" s="716"/>
      <c r="BW87" s="716"/>
      <c r="BX87" s="716"/>
      <c r="BY87" s="716"/>
      <c r="BZ87" s="716"/>
      <c r="CA87" s="716"/>
      <c r="CB87" s="716"/>
      <c r="CC87" s="716"/>
      <c r="CD87" s="716"/>
      <c r="CE87" s="716"/>
      <c r="CF87" s="716"/>
      <c r="CG87" s="716"/>
      <c r="CH87" s="716"/>
      <c r="CI87" s="716"/>
      <c r="CJ87" s="716"/>
      <c r="CK87" s="716"/>
      <c r="CL87" s="716"/>
      <c r="CM87" s="716"/>
      <c r="CN87" s="716"/>
      <c r="CO87" s="716"/>
      <c r="CP87" s="716"/>
      <c r="CQ87" s="716"/>
      <c r="CR87" s="716"/>
      <c r="CS87" s="716"/>
      <c r="CT87" s="716"/>
      <c r="CU87" s="716"/>
      <c r="CV87" s="716"/>
      <c r="CW87" s="716"/>
      <c r="CX87" s="716"/>
      <c r="CY87" s="716"/>
      <c r="CZ87" s="716"/>
      <c r="DA87" s="716"/>
      <c r="DB87" s="716"/>
      <c r="DC87" s="716"/>
      <c r="DD87" s="716"/>
      <c r="DE87" s="716"/>
      <c r="DF87" s="716"/>
      <c r="DG87" s="716"/>
      <c r="DH87" s="716"/>
      <c r="DI87" s="716"/>
      <c r="DJ87" s="716"/>
      <c r="DK87" s="716"/>
      <c r="DL87" s="716"/>
      <c r="DM87" s="716"/>
      <c r="DN87" s="716"/>
      <c r="DO87" s="716"/>
      <c r="DP87" s="716"/>
      <c r="DQ87" s="716"/>
      <c r="DR87" s="716"/>
      <c r="DS87" s="716"/>
      <c r="DT87" s="716"/>
      <c r="DU87" s="716"/>
      <c r="DV87" s="716"/>
      <c r="DW87" s="716"/>
      <c r="DX87" s="716"/>
      <c r="DY87" s="716"/>
      <c r="DZ87" s="716"/>
      <c r="EA87" s="716"/>
      <c r="EB87" s="716"/>
      <c r="EC87" s="716"/>
      <c r="ED87" s="716"/>
      <c r="EE87" s="716"/>
      <c r="EF87" s="716"/>
      <c r="EG87" s="716"/>
      <c r="EH87" s="716"/>
      <c r="EI87" s="716"/>
      <c r="EJ87" s="716"/>
      <c r="EK87" s="716"/>
      <c r="EL87" s="716"/>
      <c r="EM87" s="716"/>
      <c r="EN87" s="716"/>
      <c r="EO87" s="716"/>
      <c r="EP87" s="716"/>
      <c r="EQ87" s="716"/>
      <c r="ER87" s="716"/>
      <c r="ES87" s="716"/>
      <c r="ET87" s="716"/>
      <c r="EU87" s="716"/>
      <c r="EV87" s="716"/>
      <c r="EW87" s="716"/>
      <c r="EX87" s="716"/>
      <c r="EY87" s="716"/>
      <c r="EZ87" s="716"/>
      <c r="FA87" s="716"/>
      <c r="FB87" s="716"/>
      <c r="FC87" s="716"/>
      <c r="FD87" s="716"/>
      <c r="FE87" s="716"/>
      <c r="FF87" s="716"/>
      <c r="FG87" s="716"/>
      <c r="FH87" s="716"/>
      <c r="FI87" s="716"/>
      <c r="FJ87" s="716"/>
      <c r="FK87" s="716"/>
      <c r="FL87" s="716"/>
      <c r="FM87" s="716"/>
      <c r="FN87" s="716"/>
      <c r="FO87" s="716"/>
      <c r="FP87" s="716"/>
      <c r="FQ87" s="716"/>
      <c r="FR87" s="716"/>
      <c r="FS87" s="716"/>
      <c r="FT87" s="716"/>
      <c r="FU87" s="716"/>
      <c r="FV87" s="716"/>
      <c r="FW87" s="716"/>
      <c r="FX87" s="716"/>
      <c r="FY87" s="716"/>
      <c r="FZ87" s="716"/>
      <c r="GA87" s="716"/>
    </row>
    <row r="88" spans="2:183" x14ac:dyDescent="0.25">
      <c r="B88" s="763" t="s">
        <v>662</v>
      </c>
      <c r="C88" s="764"/>
      <c r="D88" s="764"/>
      <c r="E88" s="764"/>
      <c r="F88" s="997"/>
      <c r="G88" s="997"/>
      <c r="H88" s="997"/>
      <c r="I88" s="716"/>
      <c r="AG88" s="716"/>
      <c r="AH88" s="716"/>
      <c r="AI88" s="716"/>
      <c r="AJ88" s="716"/>
      <c r="AK88" s="716"/>
      <c r="AL88" s="716"/>
      <c r="AM88" s="716"/>
      <c r="AN88" s="716"/>
      <c r="AO88" s="716"/>
      <c r="AP88" s="716"/>
      <c r="AQ88" s="716"/>
      <c r="AR88" s="716"/>
      <c r="AS88" s="716"/>
      <c r="AT88" s="716"/>
      <c r="AU88" s="716"/>
      <c r="AV88" s="716"/>
      <c r="AW88" s="716"/>
      <c r="AX88" s="716"/>
      <c r="AY88" s="716"/>
      <c r="AZ88" s="716"/>
      <c r="BA88" s="716"/>
      <c r="BB88" s="716"/>
      <c r="BC88" s="716"/>
      <c r="BD88" s="716"/>
      <c r="BE88" s="716"/>
      <c r="BF88" s="716"/>
      <c r="BG88" s="716"/>
      <c r="BH88" s="716"/>
      <c r="BI88" s="716"/>
      <c r="BJ88" s="716"/>
      <c r="BK88" s="716"/>
      <c r="BL88" s="716"/>
      <c r="BM88" s="716"/>
      <c r="BN88" s="716"/>
      <c r="BO88" s="716"/>
      <c r="BP88" s="716"/>
      <c r="BQ88" s="716"/>
      <c r="BR88" s="716"/>
      <c r="BS88" s="716"/>
      <c r="BT88" s="716"/>
      <c r="BU88" s="716"/>
      <c r="BV88" s="716"/>
      <c r="BW88" s="716"/>
      <c r="BX88" s="716"/>
      <c r="BY88" s="716"/>
      <c r="BZ88" s="716"/>
      <c r="CA88" s="716"/>
      <c r="CB88" s="716"/>
      <c r="CC88" s="716"/>
      <c r="CD88" s="716"/>
      <c r="CE88" s="716"/>
      <c r="CF88" s="716"/>
      <c r="CG88" s="716"/>
      <c r="CH88" s="716"/>
      <c r="CI88" s="716"/>
      <c r="CJ88" s="716"/>
      <c r="CK88" s="716"/>
      <c r="CL88" s="716"/>
      <c r="CM88" s="716"/>
      <c r="CN88" s="716"/>
      <c r="CO88" s="716"/>
      <c r="CP88" s="716"/>
      <c r="CQ88" s="716"/>
      <c r="CR88" s="716"/>
      <c r="CS88" s="716"/>
      <c r="CT88" s="716"/>
      <c r="CU88" s="716"/>
      <c r="CV88" s="716"/>
      <c r="CW88" s="716"/>
      <c r="CX88" s="716"/>
      <c r="CY88" s="716"/>
      <c r="CZ88" s="716"/>
      <c r="DA88" s="716"/>
      <c r="DB88" s="716"/>
      <c r="DC88" s="716"/>
      <c r="DD88" s="716"/>
      <c r="DE88" s="716"/>
      <c r="DF88" s="716"/>
      <c r="DG88" s="716"/>
      <c r="DH88" s="716"/>
      <c r="DI88" s="716"/>
      <c r="DJ88" s="716"/>
      <c r="DK88" s="716"/>
      <c r="DL88" s="716"/>
      <c r="DM88" s="716"/>
      <c r="DN88" s="716"/>
      <c r="DO88" s="716"/>
      <c r="DP88" s="716"/>
      <c r="DQ88" s="716"/>
      <c r="DR88" s="716"/>
      <c r="DS88" s="716"/>
      <c r="DT88" s="716"/>
      <c r="DU88" s="716"/>
      <c r="DV88" s="716"/>
      <c r="DW88" s="716"/>
      <c r="DX88" s="716"/>
      <c r="DY88" s="716"/>
      <c r="DZ88" s="716"/>
      <c r="EA88" s="716"/>
      <c r="EB88" s="716"/>
      <c r="EC88" s="716"/>
      <c r="ED88" s="716"/>
      <c r="EE88" s="716"/>
      <c r="EF88" s="716"/>
      <c r="EG88" s="716"/>
      <c r="EH88" s="716"/>
      <c r="EI88" s="716"/>
      <c r="EJ88" s="716"/>
      <c r="EK88" s="716"/>
      <c r="EL88" s="716"/>
      <c r="EM88" s="716"/>
      <c r="EN88" s="716"/>
      <c r="EO88" s="716"/>
      <c r="EP88" s="716"/>
      <c r="EQ88" s="716"/>
      <c r="ER88" s="716"/>
      <c r="ES88" s="716"/>
      <c r="ET88" s="716"/>
      <c r="EU88" s="716"/>
      <c r="EV88" s="716"/>
      <c r="EW88" s="716"/>
      <c r="EX88" s="716"/>
      <c r="EY88" s="716"/>
      <c r="EZ88" s="716"/>
      <c r="FA88" s="716"/>
      <c r="FB88" s="716"/>
      <c r="FC88" s="716"/>
      <c r="FD88" s="716"/>
      <c r="FE88" s="716"/>
      <c r="FF88" s="716"/>
      <c r="FG88" s="716"/>
      <c r="FH88" s="716"/>
      <c r="FI88" s="716"/>
      <c r="FJ88" s="716"/>
      <c r="FK88" s="716"/>
      <c r="FL88" s="716"/>
      <c r="FM88" s="716"/>
      <c r="FN88" s="716"/>
      <c r="FO88" s="716"/>
      <c r="FP88" s="716"/>
      <c r="FQ88" s="716"/>
      <c r="FR88" s="716"/>
      <c r="FS88" s="716"/>
      <c r="FT88" s="716"/>
      <c r="FU88" s="716"/>
      <c r="FV88" s="716"/>
      <c r="FW88" s="716"/>
      <c r="FX88" s="716"/>
      <c r="FY88" s="716"/>
      <c r="FZ88" s="716"/>
      <c r="GA88" s="716"/>
    </row>
    <row r="89" spans="2:183" ht="10.8" customHeight="1" x14ac:dyDescent="0.25">
      <c r="B89" s="811" t="s">
        <v>663</v>
      </c>
      <c r="C89" s="22"/>
      <c r="D89" s="22"/>
      <c r="E89" s="22"/>
      <c r="F89" s="810"/>
      <c r="G89" s="22"/>
      <c r="H89" s="22"/>
      <c r="I89" s="716"/>
      <c r="AG89" s="716"/>
      <c r="AH89" s="716"/>
      <c r="AI89" s="716"/>
      <c r="AJ89" s="716"/>
      <c r="AK89" s="716"/>
      <c r="AL89" s="716"/>
      <c r="AM89" s="716"/>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6"/>
      <c r="BJ89" s="716"/>
      <c r="BK89" s="716"/>
      <c r="BL89" s="716"/>
      <c r="BM89" s="716"/>
      <c r="BN89" s="716"/>
      <c r="BO89" s="716"/>
      <c r="BP89" s="716"/>
      <c r="BQ89" s="716"/>
      <c r="BR89" s="716"/>
      <c r="BS89" s="716"/>
      <c r="BT89" s="716"/>
      <c r="BU89" s="716"/>
      <c r="BV89" s="716"/>
      <c r="BW89" s="716"/>
      <c r="BX89" s="716"/>
      <c r="BY89" s="716"/>
      <c r="BZ89" s="716"/>
      <c r="CA89" s="716"/>
      <c r="CB89" s="716"/>
      <c r="CC89" s="716"/>
      <c r="CD89" s="716"/>
      <c r="CE89" s="716"/>
      <c r="CF89" s="716"/>
      <c r="CG89" s="716"/>
      <c r="CH89" s="716"/>
      <c r="CI89" s="716"/>
      <c r="CJ89" s="716"/>
      <c r="CK89" s="716"/>
      <c r="CL89" s="716"/>
      <c r="CM89" s="716"/>
      <c r="CN89" s="716"/>
      <c r="CO89" s="716"/>
      <c r="CP89" s="716"/>
      <c r="CQ89" s="716"/>
      <c r="CR89" s="716"/>
      <c r="CS89" s="716"/>
      <c r="CT89" s="716"/>
      <c r="CU89" s="716"/>
      <c r="CV89" s="716"/>
      <c r="CW89" s="716"/>
      <c r="CX89" s="716"/>
      <c r="CY89" s="716"/>
      <c r="CZ89" s="716"/>
      <c r="DA89" s="716"/>
      <c r="DB89" s="716"/>
      <c r="DC89" s="716"/>
      <c r="DD89" s="716"/>
      <c r="DE89" s="716"/>
      <c r="DF89" s="716"/>
      <c r="DG89" s="716"/>
      <c r="DH89" s="716"/>
      <c r="DI89" s="716"/>
      <c r="DJ89" s="716"/>
      <c r="DK89" s="716"/>
      <c r="DL89" s="716"/>
      <c r="DM89" s="716"/>
      <c r="DN89" s="716"/>
      <c r="DO89" s="716"/>
      <c r="DP89" s="716"/>
      <c r="DQ89" s="716"/>
      <c r="DR89" s="716"/>
      <c r="DS89" s="716"/>
      <c r="DT89" s="716"/>
      <c r="DU89" s="716"/>
      <c r="DV89" s="716"/>
      <c r="DW89" s="716"/>
      <c r="DX89" s="716"/>
      <c r="DY89" s="716"/>
      <c r="DZ89" s="716"/>
      <c r="EA89" s="716"/>
      <c r="EB89" s="716"/>
      <c r="EC89" s="716"/>
      <c r="ED89" s="716"/>
      <c r="EE89" s="716"/>
      <c r="EF89" s="716"/>
      <c r="EG89" s="716"/>
      <c r="EH89" s="716"/>
      <c r="EI89" s="716"/>
      <c r="EJ89" s="716"/>
      <c r="EK89" s="716"/>
      <c r="EL89" s="716"/>
      <c r="EM89" s="716"/>
      <c r="EN89" s="716"/>
      <c r="EO89" s="716"/>
      <c r="EP89" s="716"/>
      <c r="EQ89" s="716"/>
      <c r="ER89" s="716"/>
      <c r="ES89" s="716"/>
      <c r="ET89" s="716"/>
      <c r="EU89" s="716"/>
      <c r="EV89" s="716"/>
      <c r="EW89" s="716"/>
      <c r="EX89" s="716"/>
      <c r="EY89" s="716"/>
      <c r="EZ89" s="716"/>
      <c r="FA89" s="716"/>
      <c r="FB89" s="716"/>
      <c r="FC89" s="716"/>
      <c r="FD89" s="716"/>
      <c r="FE89" s="716"/>
      <c r="FF89" s="716"/>
      <c r="FG89" s="716"/>
      <c r="FH89" s="716"/>
      <c r="FI89" s="716"/>
      <c r="FJ89" s="716"/>
      <c r="FK89" s="716"/>
      <c r="FL89" s="716"/>
      <c r="FM89" s="716"/>
      <c r="FN89" s="716"/>
      <c r="FO89" s="716"/>
      <c r="FP89" s="716"/>
      <c r="FQ89" s="716"/>
      <c r="FR89" s="716"/>
      <c r="FS89" s="716"/>
      <c r="FT89" s="716"/>
      <c r="FU89" s="716"/>
      <c r="FV89" s="716"/>
      <c r="FW89" s="716"/>
      <c r="FX89" s="716"/>
      <c r="FY89" s="716"/>
      <c r="FZ89" s="716"/>
      <c r="GA89" s="716"/>
    </row>
    <row r="90" spans="2:183" x14ac:dyDescent="0.25">
      <c r="B90" s="30"/>
      <c r="C90" s="22"/>
      <c r="D90" s="1473"/>
      <c r="E90" s="1473"/>
      <c r="F90" s="1473"/>
      <c r="G90" s="1473"/>
      <c r="H90" s="1473"/>
      <c r="I90" s="716"/>
      <c r="AG90" s="716"/>
      <c r="AH90" s="716"/>
      <c r="AI90" s="716"/>
      <c r="AJ90" s="716"/>
      <c r="AK90" s="716"/>
      <c r="AL90" s="716"/>
      <c r="AM90" s="716"/>
      <c r="AN90" s="716"/>
      <c r="AO90" s="716"/>
      <c r="AP90" s="716"/>
      <c r="AQ90" s="716"/>
      <c r="AR90" s="716"/>
      <c r="AS90" s="716"/>
      <c r="AT90" s="716"/>
      <c r="AU90" s="716"/>
      <c r="AV90" s="716"/>
      <c r="AW90" s="716"/>
      <c r="AX90" s="716"/>
      <c r="AY90" s="716"/>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716"/>
      <c r="BV90" s="716"/>
      <c r="BW90" s="716"/>
      <c r="BX90" s="716"/>
      <c r="BY90" s="716"/>
      <c r="BZ90" s="716"/>
      <c r="CA90" s="716"/>
      <c r="CB90" s="716"/>
      <c r="CC90" s="716"/>
      <c r="CD90" s="716"/>
      <c r="CE90" s="716"/>
      <c r="CF90" s="716"/>
      <c r="CG90" s="716"/>
      <c r="CH90" s="716"/>
      <c r="CI90" s="716"/>
      <c r="CJ90" s="716"/>
      <c r="CK90" s="716"/>
      <c r="CL90" s="716"/>
      <c r="CM90" s="716"/>
      <c r="CN90" s="716"/>
      <c r="CO90" s="716"/>
      <c r="CP90" s="716"/>
      <c r="CQ90" s="716"/>
      <c r="CR90" s="716"/>
      <c r="CS90" s="716"/>
      <c r="CT90" s="716"/>
      <c r="CU90" s="716"/>
      <c r="CV90" s="716"/>
      <c r="CW90" s="716"/>
      <c r="CX90" s="716"/>
      <c r="CY90" s="716"/>
      <c r="CZ90" s="716"/>
      <c r="DA90" s="716"/>
      <c r="DB90" s="716"/>
      <c r="DC90" s="716"/>
      <c r="DD90" s="716"/>
      <c r="DE90" s="716"/>
      <c r="DF90" s="716"/>
      <c r="DG90" s="716"/>
      <c r="DH90" s="716"/>
      <c r="DI90" s="716"/>
      <c r="DJ90" s="716"/>
      <c r="DK90" s="716"/>
      <c r="DL90" s="716"/>
      <c r="DM90" s="716"/>
      <c r="DN90" s="716"/>
      <c r="DO90" s="716"/>
      <c r="DP90" s="716"/>
      <c r="DQ90" s="716"/>
      <c r="DR90" s="716"/>
      <c r="DS90" s="716"/>
      <c r="DT90" s="716"/>
      <c r="DU90" s="716"/>
      <c r="DV90" s="716"/>
      <c r="DW90" s="716"/>
      <c r="DX90" s="716"/>
      <c r="DY90" s="716"/>
      <c r="DZ90" s="716"/>
      <c r="EA90" s="716"/>
      <c r="EB90" s="716"/>
      <c r="EC90" s="716"/>
      <c r="ED90" s="716"/>
      <c r="EE90" s="716"/>
      <c r="EF90" s="716"/>
      <c r="EG90" s="716"/>
      <c r="EH90" s="716"/>
      <c r="EI90" s="716"/>
      <c r="EJ90" s="716"/>
      <c r="EK90" s="716"/>
      <c r="EL90" s="716"/>
      <c r="EM90" s="716"/>
      <c r="EN90" s="716"/>
      <c r="EO90" s="716"/>
      <c r="EP90" s="716"/>
      <c r="EQ90" s="716"/>
      <c r="ER90" s="716"/>
      <c r="ES90" s="716"/>
      <c r="ET90" s="716"/>
      <c r="EU90" s="716"/>
      <c r="EV90" s="716"/>
      <c r="EW90" s="716"/>
      <c r="EX90" s="716"/>
      <c r="EY90" s="716"/>
      <c r="EZ90" s="716"/>
      <c r="FA90" s="716"/>
      <c r="FB90" s="716"/>
      <c r="FC90" s="716"/>
      <c r="FD90" s="716"/>
      <c r="FE90" s="716"/>
      <c r="FF90" s="716"/>
      <c r="FG90" s="716"/>
      <c r="FH90" s="716"/>
      <c r="FI90" s="716"/>
      <c r="FJ90" s="716"/>
      <c r="FK90" s="716"/>
      <c r="FL90" s="716"/>
      <c r="FM90" s="716"/>
      <c r="FN90" s="716"/>
      <c r="FO90" s="716"/>
      <c r="FP90" s="716"/>
      <c r="FQ90" s="716"/>
      <c r="FR90" s="716"/>
      <c r="FS90" s="716"/>
      <c r="FT90" s="716"/>
      <c r="FU90" s="716"/>
      <c r="FV90" s="716"/>
      <c r="FW90" s="716"/>
      <c r="FX90" s="716"/>
      <c r="FY90" s="716"/>
      <c r="FZ90" s="716"/>
      <c r="GA90" s="716"/>
    </row>
    <row r="93" spans="2:183" x14ac:dyDescent="0.25">
      <c r="C93" s="759"/>
      <c r="I93" s="716"/>
      <c r="AG93" s="716"/>
      <c r="AH93" s="716"/>
      <c r="AI93" s="716"/>
      <c r="AJ93" s="716"/>
      <c r="AK93" s="716"/>
      <c r="AL93" s="716"/>
      <c r="AM93" s="716"/>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6"/>
      <c r="BJ93" s="716"/>
      <c r="BK93" s="716"/>
      <c r="BL93" s="716"/>
      <c r="BM93" s="716"/>
      <c r="BN93" s="716"/>
      <c r="BO93" s="716"/>
      <c r="BP93" s="716"/>
      <c r="BQ93" s="716"/>
      <c r="BR93" s="716"/>
      <c r="BS93" s="716"/>
      <c r="BT93" s="716"/>
      <c r="BU93" s="716"/>
      <c r="BV93" s="716"/>
      <c r="BW93" s="716"/>
      <c r="BX93" s="716"/>
      <c r="BY93" s="716"/>
      <c r="BZ93" s="716"/>
      <c r="CA93" s="716"/>
      <c r="CB93" s="716"/>
      <c r="CC93" s="716"/>
      <c r="CD93" s="716"/>
      <c r="CE93" s="716"/>
      <c r="CF93" s="716"/>
      <c r="CG93" s="716"/>
      <c r="CH93" s="716"/>
      <c r="CI93" s="716"/>
      <c r="CJ93" s="716"/>
      <c r="CK93" s="716"/>
      <c r="CL93" s="716"/>
      <c r="CM93" s="716"/>
      <c r="CN93" s="716"/>
      <c r="CO93" s="716"/>
      <c r="CP93" s="716"/>
      <c r="CQ93" s="716"/>
      <c r="CR93" s="716"/>
      <c r="CS93" s="716"/>
      <c r="CT93" s="716"/>
      <c r="CU93" s="716"/>
      <c r="CV93" s="716"/>
      <c r="CW93" s="716"/>
      <c r="CX93" s="716"/>
      <c r="CY93" s="716"/>
      <c r="CZ93" s="716"/>
      <c r="DA93" s="716"/>
      <c r="DB93" s="716"/>
      <c r="DC93" s="716"/>
      <c r="DD93" s="716"/>
      <c r="DE93" s="716"/>
      <c r="DF93" s="716"/>
      <c r="DG93" s="716"/>
      <c r="DH93" s="716"/>
      <c r="DI93" s="716"/>
      <c r="DJ93" s="716"/>
      <c r="DK93" s="716"/>
      <c r="DL93" s="716"/>
      <c r="DM93" s="716"/>
      <c r="DN93" s="716"/>
      <c r="DO93" s="716"/>
      <c r="DP93" s="716"/>
      <c r="DQ93" s="716"/>
      <c r="DR93" s="716"/>
      <c r="DS93" s="716"/>
      <c r="DT93" s="716"/>
      <c r="DU93" s="716"/>
      <c r="DV93" s="716"/>
      <c r="DW93" s="716"/>
      <c r="DX93" s="716"/>
      <c r="DY93" s="716"/>
      <c r="DZ93" s="716"/>
      <c r="EA93" s="716"/>
      <c r="EB93" s="716"/>
      <c r="EC93" s="716"/>
      <c r="ED93" s="716"/>
      <c r="EE93" s="716"/>
      <c r="EF93" s="716"/>
      <c r="EG93" s="716"/>
      <c r="EH93" s="716"/>
      <c r="EI93" s="716"/>
      <c r="EJ93" s="716"/>
      <c r="EK93" s="716"/>
      <c r="EL93" s="716"/>
      <c r="EM93" s="716"/>
      <c r="EN93" s="716"/>
      <c r="EO93" s="716"/>
      <c r="EP93" s="716"/>
      <c r="EQ93" s="716"/>
      <c r="ER93" s="716"/>
      <c r="ES93" s="716"/>
      <c r="ET93" s="716"/>
      <c r="EU93" s="716"/>
      <c r="EV93" s="716"/>
      <c r="EW93" s="716"/>
      <c r="EX93" s="716"/>
      <c r="EY93" s="716"/>
      <c r="EZ93" s="716"/>
      <c r="FA93" s="716"/>
      <c r="FB93" s="716"/>
      <c r="FC93" s="716"/>
      <c r="FD93" s="716"/>
      <c r="FE93" s="716"/>
      <c r="FF93" s="716"/>
      <c r="FG93" s="716"/>
      <c r="FH93" s="716"/>
      <c r="FI93" s="716"/>
      <c r="FJ93" s="716"/>
      <c r="FK93" s="716"/>
      <c r="FL93" s="716"/>
      <c r="FM93" s="716"/>
      <c r="FN93" s="716"/>
      <c r="FO93" s="716"/>
      <c r="FP93" s="716"/>
      <c r="FQ93" s="716"/>
      <c r="FR93" s="716"/>
      <c r="FS93" s="716"/>
      <c r="FT93" s="716"/>
      <c r="FU93" s="716"/>
      <c r="FV93" s="716"/>
      <c r="FW93" s="716"/>
      <c r="FX93" s="716"/>
      <c r="FY93" s="716"/>
      <c r="FZ93" s="716"/>
      <c r="GA93" s="716"/>
    </row>
    <row r="94" spans="2:183" hidden="1" x14ac:dyDescent="0.25">
      <c r="I94" s="716"/>
      <c r="AG94" s="716"/>
      <c r="AH94" s="716"/>
      <c r="AI94" s="716"/>
      <c r="AJ94" s="716"/>
      <c r="AK94" s="716"/>
      <c r="AL94" s="716"/>
      <c r="AM94" s="716"/>
      <c r="AN94" s="716"/>
      <c r="AO94" s="716"/>
      <c r="AP94" s="716"/>
      <c r="AQ94" s="716"/>
      <c r="AR94" s="716"/>
      <c r="AS94" s="716"/>
      <c r="AT94" s="716"/>
      <c r="AU94" s="716"/>
      <c r="AV94" s="716"/>
      <c r="AW94" s="716"/>
      <c r="AX94" s="716"/>
      <c r="AY94" s="716"/>
      <c r="AZ94" s="716"/>
      <c r="BA94" s="716"/>
      <c r="BB94" s="716"/>
      <c r="BC94" s="716"/>
      <c r="BD94" s="716"/>
      <c r="BE94" s="716"/>
      <c r="BF94" s="716"/>
      <c r="BG94" s="716"/>
      <c r="BH94" s="716"/>
      <c r="BI94" s="716"/>
      <c r="BJ94" s="716"/>
      <c r="BK94" s="716"/>
      <c r="BL94" s="716"/>
      <c r="BM94" s="716"/>
      <c r="BN94" s="716"/>
      <c r="BO94" s="716"/>
      <c r="BP94" s="716"/>
      <c r="BQ94" s="716"/>
      <c r="BR94" s="716"/>
      <c r="BS94" s="716"/>
      <c r="BT94" s="716"/>
      <c r="BU94" s="716"/>
      <c r="BV94" s="716"/>
      <c r="BW94" s="716"/>
      <c r="BX94" s="716"/>
      <c r="BY94" s="716"/>
      <c r="BZ94" s="716"/>
      <c r="CA94" s="716"/>
      <c r="CB94" s="716"/>
      <c r="CC94" s="716"/>
      <c r="CD94" s="716"/>
      <c r="CE94" s="716"/>
      <c r="CF94" s="716"/>
      <c r="CG94" s="716"/>
      <c r="CH94" s="716"/>
      <c r="CI94" s="716"/>
      <c r="CJ94" s="716"/>
      <c r="CK94" s="716"/>
      <c r="CL94" s="716"/>
      <c r="CM94" s="716"/>
      <c r="CN94" s="716"/>
      <c r="CO94" s="716"/>
      <c r="CP94" s="716"/>
      <c r="CQ94" s="716"/>
      <c r="CR94" s="716"/>
      <c r="CS94" s="716"/>
      <c r="CT94" s="716"/>
      <c r="CU94" s="716"/>
      <c r="CV94" s="716"/>
      <c r="CW94" s="716"/>
      <c r="CX94" s="716"/>
      <c r="CY94" s="716"/>
      <c r="CZ94" s="716"/>
      <c r="DA94" s="716"/>
      <c r="DB94" s="716"/>
      <c r="DC94" s="716"/>
      <c r="DD94" s="716"/>
      <c r="DE94" s="716"/>
      <c r="DF94" s="716"/>
      <c r="DG94" s="716"/>
      <c r="DH94" s="716"/>
      <c r="DI94" s="716"/>
      <c r="DJ94" s="716"/>
      <c r="DK94" s="716"/>
      <c r="DL94" s="716"/>
      <c r="DM94" s="716"/>
      <c r="DN94" s="716"/>
      <c r="DO94" s="716"/>
      <c r="DP94" s="716"/>
      <c r="DQ94" s="716"/>
      <c r="DR94" s="716"/>
      <c r="DS94" s="716"/>
      <c r="DT94" s="716"/>
      <c r="DU94" s="716"/>
      <c r="DV94" s="716"/>
      <c r="DW94" s="716"/>
      <c r="DX94" s="716"/>
      <c r="DY94" s="716"/>
      <c r="DZ94" s="716"/>
      <c r="EA94" s="716"/>
      <c r="EB94" s="716"/>
      <c r="EC94" s="716"/>
      <c r="ED94" s="716"/>
      <c r="EE94" s="716"/>
      <c r="EF94" s="716"/>
      <c r="EG94" s="716"/>
      <c r="EH94" s="716"/>
      <c r="EI94" s="716"/>
      <c r="EJ94" s="716"/>
      <c r="EK94" s="716"/>
      <c r="EL94" s="716"/>
      <c r="EM94" s="716"/>
      <c r="EN94" s="716"/>
      <c r="EO94" s="716"/>
      <c r="EP94" s="716"/>
      <c r="EQ94" s="716"/>
      <c r="ER94" s="716"/>
      <c r="ES94" s="716"/>
      <c r="ET94" s="716"/>
      <c r="EU94" s="716"/>
      <c r="EV94" s="716"/>
      <c r="EW94" s="716"/>
      <c r="EX94" s="716"/>
      <c r="EY94" s="716"/>
      <c r="EZ94" s="716"/>
      <c r="FA94" s="716"/>
      <c r="FB94" s="716"/>
      <c r="FC94" s="716"/>
      <c r="FD94" s="716"/>
      <c r="FE94" s="716"/>
      <c r="FF94" s="716"/>
      <c r="FG94" s="716"/>
      <c r="FH94" s="716"/>
      <c r="FI94" s="716"/>
      <c r="FJ94" s="716"/>
      <c r="FK94" s="716"/>
      <c r="FL94" s="716"/>
      <c r="FM94" s="716"/>
      <c r="FN94" s="716"/>
      <c r="FO94" s="716"/>
      <c r="FP94" s="716"/>
      <c r="FQ94" s="716"/>
      <c r="FR94" s="716"/>
      <c r="FS94" s="716"/>
      <c r="FT94" s="716"/>
      <c r="FU94" s="716"/>
      <c r="FV94" s="716"/>
      <c r="FW94" s="716"/>
      <c r="FX94" s="716"/>
      <c r="FY94" s="716"/>
      <c r="FZ94" s="716"/>
      <c r="GA94" s="716"/>
    </row>
    <row r="95" spans="2:183" hidden="1" x14ac:dyDescent="0.25">
      <c r="C95" s="1460" t="s">
        <v>584</v>
      </c>
      <c r="D95" s="1461"/>
      <c r="E95" s="1461"/>
      <c r="F95" s="1461"/>
      <c r="G95" s="1462"/>
      <c r="I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716"/>
      <c r="BT95" s="716"/>
      <c r="BU95" s="716"/>
      <c r="BV95" s="716"/>
      <c r="BW95" s="716"/>
      <c r="BX95" s="716"/>
      <c r="BY95" s="716"/>
      <c r="BZ95" s="716"/>
      <c r="CA95" s="716"/>
      <c r="CB95" s="716"/>
      <c r="CC95" s="716"/>
      <c r="CD95" s="716"/>
      <c r="CE95" s="716"/>
      <c r="CF95" s="716"/>
      <c r="CG95" s="716"/>
      <c r="CH95" s="716"/>
      <c r="CI95" s="716"/>
      <c r="CJ95" s="716"/>
      <c r="CK95" s="716"/>
      <c r="CL95" s="716"/>
      <c r="CM95" s="716"/>
      <c r="CN95" s="716"/>
      <c r="CO95" s="716"/>
      <c r="CP95" s="716"/>
      <c r="CQ95" s="716"/>
      <c r="CR95" s="716"/>
      <c r="CS95" s="716"/>
      <c r="CT95" s="716"/>
      <c r="CU95" s="716"/>
      <c r="CV95" s="716"/>
      <c r="CW95" s="716"/>
      <c r="CX95" s="716"/>
      <c r="CY95" s="716"/>
      <c r="CZ95" s="716"/>
      <c r="DA95" s="716"/>
      <c r="DB95" s="716"/>
      <c r="DC95" s="716"/>
      <c r="DD95" s="716"/>
      <c r="DE95" s="716"/>
      <c r="DF95" s="716"/>
      <c r="DG95" s="716"/>
      <c r="DH95" s="716"/>
      <c r="DI95" s="716"/>
      <c r="DJ95" s="716"/>
      <c r="DK95" s="716"/>
      <c r="DL95" s="716"/>
      <c r="DM95" s="716"/>
      <c r="DN95" s="716"/>
      <c r="DO95" s="716"/>
      <c r="DP95" s="716"/>
      <c r="DQ95" s="716"/>
      <c r="DR95" s="716"/>
      <c r="DS95" s="716"/>
      <c r="DT95" s="716"/>
      <c r="DU95" s="716"/>
      <c r="DV95" s="716"/>
      <c r="DW95" s="716"/>
      <c r="DX95" s="716"/>
      <c r="DY95" s="716"/>
      <c r="DZ95" s="716"/>
      <c r="EA95" s="716"/>
      <c r="EB95" s="716"/>
      <c r="EC95" s="716"/>
      <c r="ED95" s="716"/>
      <c r="EE95" s="716"/>
      <c r="EF95" s="716"/>
      <c r="EG95" s="716"/>
      <c r="EH95" s="716"/>
      <c r="EI95" s="716"/>
      <c r="EJ95" s="716"/>
      <c r="EK95" s="716"/>
      <c r="EL95" s="716"/>
      <c r="EM95" s="716"/>
      <c r="EN95" s="716"/>
      <c r="EO95" s="716"/>
      <c r="EP95" s="716"/>
      <c r="EQ95" s="716"/>
      <c r="ER95" s="716"/>
      <c r="ES95" s="716"/>
      <c r="ET95" s="716"/>
      <c r="EU95" s="716"/>
      <c r="EV95" s="716"/>
      <c r="EW95" s="716"/>
      <c r="EX95" s="716"/>
      <c r="EY95" s="716"/>
      <c r="EZ95" s="716"/>
      <c r="FA95" s="716"/>
      <c r="FB95" s="716"/>
      <c r="FC95" s="716"/>
      <c r="FD95" s="716"/>
      <c r="FE95" s="716"/>
      <c r="FF95" s="716"/>
      <c r="FG95" s="716"/>
      <c r="FH95" s="716"/>
      <c r="FI95" s="716"/>
      <c r="FJ95" s="716"/>
      <c r="FK95" s="716"/>
      <c r="FL95" s="716"/>
      <c r="FM95" s="716"/>
      <c r="FN95" s="716"/>
      <c r="FO95" s="716"/>
      <c r="FP95" s="716"/>
      <c r="FQ95" s="716"/>
      <c r="FR95" s="716"/>
      <c r="FS95" s="716"/>
      <c r="FT95" s="716"/>
      <c r="FU95" s="716"/>
      <c r="FV95" s="716"/>
      <c r="FW95" s="716"/>
      <c r="FX95" s="716"/>
      <c r="FY95" s="716"/>
      <c r="FZ95" s="716"/>
      <c r="GA95" s="716"/>
    </row>
    <row r="96" spans="2:183" hidden="1" x14ac:dyDescent="0.25">
      <c r="C96" s="1460" t="str">
        <f>IF(AND(C99=D99,C100&lt;C97,D100&gt;E97),"Manutención sin pernoctar",IF(AND(C99=D99,C100&gt;C97,D100&lt;E97),"No corresponde dienta",IF(AND(C99=D99,C100&gt;D100&gt;E97),"1/2 Manutención",IF(AND(C99=D99,C100&lt;D100&gt;D97,D100&lt;E97),"1/2 Manutención",""))))</f>
        <v>1/2 Manutención</v>
      </c>
      <c r="D96" s="1461"/>
      <c r="E96" s="1461"/>
      <c r="F96" s="1461"/>
      <c r="G96" s="1462"/>
      <c r="I96" s="716"/>
      <c r="AG96" s="716"/>
      <c r="AH96" s="716"/>
      <c r="AI96" s="716"/>
      <c r="AJ96" s="716"/>
      <c r="AK96" s="716"/>
      <c r="AL96" s="716"/>
      <c r="AM96" s="716"/>
      <c r="AN96" s="716"/>
      <c r="AO96" s="716"/>
      <c r="AP96" s="716"/>
      <c r="AQ96" s="716"/>
      <c r="AR96" s="716"/>
      <c r="AS96" s="716"/>
      <c r="AT96" s="716"/>
      <c r="AU96" s="716"/>
      <c r="AV96" s="716"/>
      <c r="AW96" s="716"/>
      <c r="AX96" s="716"/>
      <c r="AY96" s="716"/>
      <c r="AZ96" s="716"/>
      <c r="BA96" s="716"/>
      <c r="BB96" s="716"/>
      <c r="BC96" s="716"/>
      <c r="BD96" s="716"/>
      <c r="BE96" s="716"/>
      <c r="BF96" s="716"/>
      <c r="BG96" s="716"/>
      <c r="BH96" s="716"/>
      <c r="BI96" s="716"/>
      <c r="BJ96" s="716"/>
      <c r="BK96" s="716"/>
      <c r="BL96" s="716"/>
      <c r="BM96" s="716"/>
      <c r="BN96" s="716"/>
      <c r="BO96" s="716"/>
      <c r="BP96" s="716"/>
      <c r="BQ96" s="716"/>
      <c r="BR96" s="716"/>
      <c r="BS96" s="716"/>
      <c r="BT96" s="716"/>
      <c r="BU96" s="716"/>
      <c r="BV96" s="716"/>
      <c r="BW96" s="716"/>
      <c r="BX96" s="716"/>
      <c r="BY96" s="716"/>
      <c r="BZ96" s="716"/>
      <c r="CA96" s="716"/>
      <c r="CB96" s="716"/>
      <c r="CC96" s="716"/>
      <c r="CD96" s="716"/>
      <c r="CE96" s="716"/>
      <c r="CF96" s="716"/>
      <c r="CG96" s="716"/>
      <c r="CH96" s="716"/>
      <c r="CI96" s="716"/>
      <c r="CJ96" s="716"/>
      <c r="CK96" s="716"/>
      <c r="CL96" s="716"/>
      <c r="CM96" s="716"/>
      <c r="CN96" s="716"/>
      <c r="CO96" s="716"/>
      <c r="CP96" s="716"/>
      <c r="CQ96" s="716"/>
      <c r="CR96" s="716"/>
      <c r="CS96" s="716"/>
      <c r="CT96" s="716"/>
      <c r="CU96" s="716"/>
      <c r="CV96" s="716"/>
      <c r="CW96" s="716"/>
      <c r="CX96" s="716"/>
      <c r="CY96" s="716"/>
      <c r="CZ96" s="716"/>
      <c r="DA96" s="716"/>
      <c r="DB96" s="716"/>
      <c r="DC96" s="716"/>
      <c r="DD96" s="716"/>
      <c r="DE96" s="716"/>
      <c r="DF96" s="716"/>
      <c r="DG96" s="716"/>
      <c r="DH96" s="716"/>
      <c r="DI96" s="716"/>
      <c r="DJ96" s="716"/>
      <c r="DK96" s="716"/>
      <c r="DL96" s="716"/>
      <c r="DM96" s="716"/>
      <c r="DN96" s="716"/>
      <c r="DO96" s="716"/>
      <c r="DP96" s="716"/>
      <c r="DQ96" s="716"/>
      <c r="DR96" s="716"/>
      <c r="DS96" s="716"/>
      <c r="DT96" s="716"/>
      <c r="DU96" s="716"/>
      <c r="DV96" s="716"/>
      <c r="DW96" s="716"/>
      <c r="DX96" s="716"/>
      <c r="DY96" s="716"/>
      <c r="DZ96" s="716"/>
      <c r="EA96" s="716"/>
      <c r="EB96" s="716"/>
      <c r="EC96" s="716"/>
      <c r="ED96" s="716"/>
      <c r="EE96" s="716"/>
      <c r="EF96" s="716"/>
      <c r="EG96" s="716"/>
      <c r="EH96" s="716"/>
      <c r="EI96" s="716"/>
      <c r="EJ96" s="716"/>
      <c r="EK96" s="716"/>
      <c r="EL96" s="716"/>
      <c r="EM96" s="716"/>
      <c r="EN96" s="716"/>
      <c r="EO96" s="716"/>
      <c r="EP96" s="716"/>
      <c r="EQ96" s="716"/>
      <c r="ER96" s="716"/>
      <c r="ES96" s="716"/>
      <c r="ET96" s="716"/>
      <c r="EU96" s="716"/>
      <c r="EV96" s="716"/>
      <c r="EW96" s="716"/>
      <c r="EX96" s="716"/>
      <c r="EY96" s="716"/>
      <c r="EZ96" s="716"/>
      <c r="FA96" s="716"/>
      <c r="FB96" s="716"/>
      <c r="FC96" s="716"/>
      <c r="FD96" s="716"/>
      <c r="FE96" s="716"/>
      <c r="FF96" s="716"/>
      <c r="FG96" s="716"/>
      <c r="FH96" s="716"/>
      <c r="FI96" s="716"/>
      <c r="FJ96" s="716"/>
      <c r="FK96" s="716"/>
      <c r="FL96" s="716"/>
      <c r="FM96" s="716"/>
      <c r="FN96" s="716"/>
      <c r="FO96" s="716"/>
      <c r="FP96" s="716"/>
      <c r="FQ96" s="716"/>
      <c r="FR96" s="716"/>
      <c r="FS96" s="716"/>
      <c r="FT96" s="716"/>
      <c r="FU96" s="716"/>
      <c r="FV96" s="716"/>
      <c r="FW96" s="716"/>
      <c r="FX96" s="716"/>
      <c r="FY96" s="716"/>
      <c r="FZ96" s="716"/>
      <c r="GA96" s="716"/>
    </row>
    <row r="97" spans="3:183" hidden="1" x14ac:dyDescent="0.25">
      <c r="C97" s="765">
        <v>0.58333333333333304</v>
      </c>
      <c r="D97" s="765">
        <v>0.625</v>
      </c>
      <c r="E97" s="765">
        <v>0.91666666666666696</v>
      </c>
      <c r="I97" s="716"/>
      <c r="AG97" s="716"/>
      <c r="AH97" s="716"/>
      <c r="AI97" s="716"/>
      <c r="AJ97" s="716"/>
      <c r="AK97" s="716"/>
      <c r="AL97" s="716"/>
      <c r="AM97" s="716"/>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6"/>
      <c r="BJ97" s="716"/>
      <c r="BK97" s="716"/>
      <c r="BL97" s="716"/>
      <c r="BM97" s="716"/>
      <c r="BN97" s="716"/>
      <c r="BO97" s="716"/>
      <c r="BP97" s="716"/>
      <c r="BQ97" s="716"/>
      <c r="BR97" s="716"/>
      <c r="BS97" s="716"/>
      <c r="BT97" s="716"/>
      <c r="BU97" s="716"/>
      <c r="BV97" s="716"/>
      <c r="BW97" s="716"/>
      <c r="BX97" s="716"/>
      <c r="BY97" s="716"/>
      <c r="BZ97" s="716"/>
      <c r="CA97" s="716"/>
      <c r="CB97" s="716"/>
      <c r="CC97" s="716"/>
      <c r="CD97" s="716"/>
      <c r="CE97" s="716"/>
      <c r="CF97" s="716"/>
      <c r="CG97" s="716"/>
      <c r="CH97" s="716"/>
      <c r="CI97" s="716"/>
      <c r="CJ97" s="716"/>
      <c r="CK97" s="716"/>
      <c r="CL97" s="716"/>
      <c r="CM97" s="716"/>
      <c r="CN97" s="716"/>
      <c r="CO97" s="716"/>
      <c r="CP97" s="716"/>
      <c r="CQ97" s="716"/>
      <c r="CR97" s="716"/>
      <c r="CS97" s="716"/>
      <c r="CT97" s="716"/>
      <c r="CU97" s="716"/>
      <c r="CV97" s="716"/>
      <c r="CW97" s="716"/>
      <c r="CX97" s="716"/>
      <c r="CY97" s="716"/>
      <c r="CZ97" s="716"/>
      <c r="DA97" s="716"/>
      <c r="DB97" s="716"/>
      <c r="DC97" s="716"/>
      <c r="DD97" s="716"/>
      <c r="DE97" s="716"/>
      <c r="DF97" s="716"/>
      <c r="DG97" s="716"/>
      <c r="DH97" s="716"/>
      <c r="DI97" s="716"/>
      <c r="DJ97" s="716"/>
      <c r="DK97" s="716"/>
      <c r="DL97" s="716"/>
      <c r="DM97" s="716"/>
      <c r="DN97" s="716"/>
      <c r="DO97" s="716"/>
      <c r="DP97" s="716"/>
      <c r="DQ97" s="716"/>
      <c r="DR97" s="716"/>
      <c r="DS97" s="716"/>
      <c r="DT97" s="716"/>
      <c r="DU97" s="716"/>
      <c r="DV97" s="716"/>
      <c r="DW97" s="716"/>
      <c r="DX97" s="716"/>
      <c r="DY97" s="716"/>
      <c r="DZ97" s="716"/>
      <c r="EA97" s="716"/>
      <c r="EB97" s="716"/>
      <c r="EC97" s="716"/>
      <c r="ED97" s="716"/>
      <c r="EE97" s="716"/>
      <c r="EF97" s="716"/>
      <c r="EG97" s="716"/>
      <c r="EH97" s="716"/>
      <c r="EI97" s="716"/>
      <c r="EJ97" s="716"/>
      <c r="EK97" s="716"/>
      <c r="EL97" s="716"/>
      <c r="EM97" s="716"/>
      <c r="EN97" s="716"/>
      <c r="EO97" s="716"/>
      <c r="EP97" s="716"/>
      <c r="EQ97" s="716"/>
      <c r="ER97" s="716"/>
      <c r="ES97" s="716"/>
      <c r="ET97" s="716"/>
      <c r="EU97" s="716"/>
      <c r="EV97" s="716"/>
      <c r="EW97" s="716"/>
      <c r="EX97" s="716"/>
      <c r="EY97" s="716"/>
      <c r="EZ97" s="716"/>
      <c r="FA97" s="716"/>
      <c r="FB97" s="716"/>
      <c r="FC97" s="716"/>
      <c r="FD97" s="716"/>
      <c r="FE97" s="716"/>
      <c r="FF97" s="716"/>
      <c r="FG97" s="716"/>
      <c r="FH97" s="716"/>
      <c r="FI97" s="716"/>
      <c r="FJ97" s="716"/>
      <c r="FK97" s="716"/>
      <c r="FL97" s="716"/>
      <c r="FM97" s="716"/>
      <c r="FN97" s="716"/>
      <c r="FO97" s="716"/>
      <c r="FP97" s="716"/>
      <c r="FQ97" s="716"/>
      <c r="FR97" s="716"/>
      <c r="FS97" s="716"/>
      <c r="FT97" s="716"/>
      <c r="FU97" s="716"/>
      <c r="FV97" s="716"/>
      <c r="FW97" s="716"/>
      <c r="FX97" s="716"/>
      <c r="FY97" s="716"/>
      <c r="FZ97" s="716"/>
      <c r="GA97" s="716"/>
    </row>
    <row r="98" spans="3:183" hidden="1" x14ac:dyDescent="0.25">
      <c r="C98" s="486" t="s">
        <v>585</v>
      </c>
      <c r="D98" s="486" t="s">
        <v>586</v>
      </c>
      <c r="I98" s="716"/>
      <c r="AG98" s="716"/>
      <c r="AH98" s="716"/>
      <c r="AI98" s="716"/>
      <c r="AJ98" s="716"/>
      <c r="AK98" s="716"/>
      <c r="AL98" s="716"/>
      <c r="AM98" s="716"/>
      <c r="AN98" s="716"/>
      <c r="AO98" s="716"/>
      <c r="AP98" s="716"/>
      <c r="AQ98" s="716"/>
      <c r="AR98" s="716"/>
      <c r="AS98" s="716"/>
      <c r="AT98" s="716"/>
      <c r="AU98" s="716"/>
      <c r="AV98" s="716"/>
      <c r="AW98" s="716"/>
      <c r="AX98" s="716"/>
      <c r="AY98" s="716"/>
      <c r="AZ98" s="716"/>
      <c r="BA98" s="716"/>
      <c r="BB98" s="716"/>
      <c r="BC98" s="716"/>
      <c r="BD98" s="716"/>
      <c r="BE98" s="716"/>
      <c r="BF98" s="716"/>
      <c r="BG98" s="716"/>
      <c r="BH98" s="716"/>
      <c r="BI98" s="716"/>
      <c r="BJ98" s="716"/>
      <c r="BK98" s="716"/>
      <c r="BL98" s="716"/>
      <c r="BM98" s="716"/>
      <c r="BN98" s="716"/>
      <c r="BO98" s="716"/>
      <c r="BP98" s="716"/>
      <c r="BQ98" s="716"/>
      <c r="BR98" s="716"/>
      <c r="BS98" s="716"/>
      <c r="BT98" s="716"/>
      <c r="BU98" s="716"/>
      <c r="BV98" s="716"/>
      <c r="BW98" s="716"/>
      <c r="BX98" s="716"/>
      <c r="BY98" s="716"/>
      <c r="BZ98" s="716"/>
      <c r="CA98" s="716"/>
      <c r="CB98" s="716"/>
      <c r="CC98" s="716"/>
      <c r="CD98" s="716"/>
      <c r="CE98" s="716"/>
      <c r="CF98" s="716"/>
      <c r="CG98" s="716"/>
      <c r="CH98" s="716"/>
      <c r="CI98" s="716"/>
      <c r="CJ98" s="716"/>
      <c r="CK98" s="716"/>
      <c r="CL98" s="716"/>
      <c r="CM98" s="716"/>
      <c r="CN98" s="716"/>
      <c r="CO98" s="716"/>
      <c r="CP98" s="716"/>
      <c r="CQ98" s="716"/>
      <c r="CR98" s="716"/>
      <c r="CS98" s="716"/>
      <c r="CT98" s="716"/>
      <c r="CU98" s="716"/>
      <c r="CV98" s="716"/>
      <c r="CW98" s="716"/>
      <c r="CX98" s="716"/>
      <c r="CY98" s="716"/>
      <c r="CZ98" s="716"/>
      <c r="DA98" s="716"/>
      <c r="DB98" s="716"/>
      <c r="DC98" s="716"/>
      <c r="DD98" s="716"/>
      <c r="DE98" s="716"/>
      <c r="DF98" s="716"/>
      <c r="DG98" s="716"/>
      <c r="DH98" s="716"/>
      <c r="DI98" s="716"/>
      <c r="DJ98" s="716"/>
      <c r="DK98" s="716"/>
      <c r="DL98" s="716"/>
      <c r="DM98" s="716"/>
      <c r="DN98" s="716"/>
      <c r="DO98" s="716"/>
      <c r="DP98" s="716"/>
      <c r="DQ98" s="716"/>
      <c r="DR98" s="716"/>
      <c r="DS98" s="716"/>
      <c r="DT98" s="716"/>
      <c r="DU98" s="716"/>
      <c r="DV98" s="716"/>
      <c r="DW98" s="716"/>
      <c r="DX98" s="716"/>
      <c r="DY98" s="716"/>
      <c r="DZ98" s="716"/>
      <c r="EA98" s="716"/>
      <c r="EB98" s="716"/>
      <c r="EC98" s="716"/>
      <c r="ED98" s="716"/>
      <c r="EE98" s="716"/>
      <c r="EF98" s="716"/>
      <c r="EG98" s="716"/>
      <c r="EH98" s="716"/>
      <c r="EI98" s="716"/>
      <c r="EJ98" s="716"/>
      <c r="EK98" s="716"/>
      <c r="EL98" s="716"/>
      <c r="EM98" s="716"/>
      <c r="EN98" s="716"/>
      <c r="EO98" s="716"/>
      <c r="EP98" s="716"/>
      <c r="EQ98" s="716"/>
      <c r="ER98" s="716"/>
      <c r="ES98" s="716"/>
      <c r="ET98" s="716"/>
      <c r="EU98" s="716"/>
      <c r="EV98" s="716"/>
      <c r="EW98" s="716"/>
      <c r="EX98" s="716"/>
      <c r="EY98" s="716"/>
      <c r="EZ98" s="716"/>
      <c r="FA98" s="716"/>
      <c r="FB98" s="716"/>
      <c r="FC98" s="716"/>
      <c r="FD98" s="716"/>
      <c r="FE98" s="716"/>
      <c r="FF98" s="716"/>
      <c r="FG98" s="716"/>
      <c r="FH98" s="716"/>
      <c r="FI98" s="716"/>
      <c r="FJ98" s="716"/>
      <c r="FK98" s="716"/>
      <c r="FL98" s="716"/>
      <c r="FM98" s="716"/>
      <c r="FN98" s="716"/>
      <c r="FO98" s="716"/>
      <c r="FP98" s="716"/>
      <c r="FQ98" s="716"/>
      <c r="FR98" s="716"/>
      <c r="FS98" s="716"/>
      <c r="FT98" s="716"/>
      <c r="FU98" s="716"/>
      <c r="FV98" s="716"/>
      <c r="FW98" s="716"/>
      <c r="FX98" s="716"/>
      <c r="FY98" s="716"/>
      <c r="FZ98" s="716"/>
      <c r="GA98" s="716"/>
    </row>
    <row r="99" spans="3:183" hidden="1" x14ac:dyDescent="0.25">
      <c r="C99" s="766">
        <f>C17</f>
        <v>0</v>
      </c>
      <c r="D99" s="766">
        <f>C18</f>
        <v>0</v>
      </c>
      <c r="I99" s="716"/>
      <c r="AG99" s="716"/>
      <c r="AH99" s="716"/>
      <c r="AI99" s="716"/>
      <c r="AJ99" s="716"/>
      <c r="AK99" s="716"/>
      <c r="AL99" s="716"/>
      <c r="AM99" s="716"/>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6"/>
      <c r="BJ99" s="716"/>
      <c r="BK99" s="716"/>
      <c r="BL99" s="716"/>
      <c r="BM99" s="716"/>
      <c r="BN99" s="716"/>
      <c r="BO99" s="716"/>
      <c r="BP99" s="716"/>
      <c r="BQ99" s="716"/>
      <c r="BR99" s="716"/>
      <c r="BS99" s="716"/>
      <c r="BT99" s="716"/>
      <c r="BU99" s="716"/>
      <c r="BV99" s="716"/>
      <c r="BW99" s="716"/>
      <c r="BX99" s="716"/>
      <c r="BY99" s="716"/>
      <c r="BZ99" s="716"/>
      <c r="CA99" s="716"/>
      <c r="CB99" s="716"/>
      <c r="CC99" s="716"/>
      <c r="CD99" s="716"/>
      <c r="CE99" s="716"/>
      <c r="CF99" s="716"/>
      <c r="CG99" s="716"/>
      <c r="CH99" s="716"/>
      <c r="CI99" s="716"/>
      <c r="CJ99" s="716"/>
      <c r="CK99" s="716"/>
      <c r="CL99" s="716"/>
      <c r="CM99" s="716"/>
      <c r="CN99" s="716"/>
      <c r="CO99" s="716"/>
      <c r="CP99" s="716"/>
      <c r="CQ99" s="716"/>
      <c r="CR99" s="716"/>
      <c r="CS99" s="716"/>
      <c r="CT99" s="716"/>
      <c r="CU99" s="716"/>
      <c r="CV99" s="716"/>
      <c r="CW99" s="716"/>
      <c r="CX99" s="716"/>
      <c r="CY99" s="716"/>
      <c r="CZ99" s="716"/>
      <c r="DA99" s="716"/>
      <c r="DB99" s="716"/>
      <c r="DC99" s="716"/>
      <c r="DD99" s="716"/>
      <c r="DE99" s="716"/>
      <c r="DF99" s="716"/>
      <c r="DG99" s="716"/>
      <c r="DH99" s="716"/>
      <c r="DI99" s="716"/>
      <c r="DJ99" s="716"/>
      <c r="DK99" s="716"/>
      <c r="DL99" s="716"/>
      <c r="DM99" s="716"/>
      <c r="DN99" s="716"/>
      <c r="DO99" s="716"/>
      <c r="DP99" s="716"/>
      <c r="DQ99" s="716"/>
      <c r="DR99" s="716"/>
      <c r="DS99" s="716"/>
      <c r="DT99" s="716"/>
      <c r="DU99" s="716"/>
      <c r="DV99" s="716"/>
      <c r="DW99" s="716"/>
      <c r="DX99" s="716"/>
      <c r="DY99" s="716"/>
      <c r="DZ99" s="716"/>
      <c r="EA99" s="716"/>
      <c r="EB99" s="716"/>
      <c r="EC99" s="716"/>
      <c r="ED99" s="716"/>
      <c r="EE99" s="716"/>
      <c r="EF99" s="716"/>
      <c r="EG99" s="716"/>
      <c r="EH99" s="716"/>
      <c r="EI99" s="716"/>
      <c r="EJ99" s="716"/>
      <c r="EK99" s="716"/>
      <c r="EL99" s="716"/>
      <c r="EM99" s="716"/>
      <c r="EN99" s="716"/>
      <c r="EO99" s="716"/>
      <c r="EP99" s="716"/>
      <c r="EQ99" s="716"/>
      <c r="ER99" s="716"/>
      <c r="ES99" s="716"/>
      <c r="ET99" s="716"/>
      <c r="EU99" s="716"/>
      <c r="EV99" s="716"/>
      <c r="EW99" s="716"/>
      <c r="EX99" s="716"/>
      <c r="EY99" s="716"/>
      <c r="EZ99" s="716"/>
      <c r="FA99" s="716"/>
      <c r="FB99" s="716"/>
      <c r="FC99" s="716"/>
      <c r="FD99" s="716"/>
      <c r="FE99" s="716"/>
      <c r="FF99" s="716"/>
      <c r="FG99" s="716"/>
      <c r="FH99" s="716"/>
      <c r="FI99" s="716"/>
      <c r="FJ99" s="716"/>
      <c r="FK99" s="716"/>
      <c r="FL99" s="716"/>
      <c r="FM99" s="716"/>
      <c r="FN99" s="716"/>
      <c r="FO99" s="716"/>
      <c r="FP99" s="716"/>
      <c r="FQ99" s="716"/>
      <c r="FR99" s="716"/>
      <c r="FS99" s="716"/>
      <c r="FT99" s="716"/>
      <c r="FU99" s="716"/>
      <c r="FV99" s="716"/>
      <c r="FW99" s="716"/>
      <c r="FX99" s="716"/>
      <c r="FY99" s="716"/>
      <c r="FZ99" s="716"/>
      <c r="GA99" s="716"/>
    </row>
    <row r="100" spans="3:183" hidden="1" x14ac:dyDescent="0.25">
      <c r="C100" s="767">
        <f>D17</f>
        <v>0</v>
      </c>
      <c r="D100" s="767">
        <f>D18</f>
        <v>0</v>
      </c>
      <c r="I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c r="BZ100" s="716"/>
      <c r="CA100" s="716"/>
      <c r="CB100" s="716"/>
      <c r="CC100" s="716"/>
      <c r="CD100" s="716"/>
      <c r="CE100" s="716"/>
      <c r="CF100" s="716"/>
      <c r="CG100" s="716"/>
      <c r="CH100" s="716"/>
      <c r="CI100" s="716"/>
      <c r="CJ100" s="716"/>
      <c r="CK100" s="716"/>
      <c r="CL100" s="716"/>
      <c r="CM100" s="716"/>
      <c r="CN100" s="716"/>
      <c r="CO100" s="716"/>
      <c r="CP100" s="716"/>
      <c r="CQ100" s="716"/>
      <c r="CR100" s="716"/>
      <c r="CS100" s="716"/>
      <c r="CT100" s="716"/>
      <c r="CU100" s="716"/>
      <c r="CV100" s="716"/>
      <c r="CW100" s="716"/>
      <c r="CX100" s="716"/>
      <c r="CY100" s="716"/>
      <c r="CZ100" s="716"/>
      <c r="DA100" s="716"/>
      <c r="DB100" s="716"/>
      <c r="DC100" s="716"/>
      <c r="DD100" s="716"/>
      <c r="DE100" s="716"/>
      <c r="DF100" s="716"/>
      <c r="DG100" s="716"/>
      <c r="DH100" s="716"/>
      <c r="DI100" s="716"/>
      <c r="DJ100" s="716"/>
      <c r="DK100" s="716"/>
      <c r="DL100" s="716"/>
      <c r="DM100" s="716"/>
      <c r="DN100" s="716"/>
      <c r="DO100" s="716"/>
      <c r="DP100" s="716"/>
      <c r="DQ100" s="716"/>
      <c r="DR100" s="716"/>
      <c r="DS100" s="716"/>
      <c r="DT100" s="716"/>
      <c r="DU100" s="716"/>
      <c r="DV100" s="716"/>
      <c r="DW100" s="716"/>
      <c r="DX100" s="716"/>
      <c r="DY100" s="716"/>
      <c r="DZ100" s="716"/>
      <c r="EA100" s="716"/>
      <c r="EB100" s="716"/>
      <c r="EC100" s="716"/>
      <c r="ED100" s="716"/>
      <c r="EE100" s="716"/>
      <c r="EF100" s="716"/>
      <c r="EG100" s="716"/>
      <c r="EH100" s="716"/>
      <c r="EI100" s="716"/>
      <c r="EJ100" s="716"/>
      <c r="EK100" s="716"/>
      <c r="EL100" s="716"/>
      <c r="EM100" s="716"/>
      <c r="EN100" s="716"/>
      <c r="EO100" s="716"/>
      <c r="EP100" s="716"/>
      <c r="EQ100" s="716"/>
      <c r="ER100" s="716"/>
      <c r="ES100" s="716"/>
      <c r="ET100" s="716"/>
      <c r="EU100" s="716"/>
      <c r="EV100" s="716"/>
      <c r="EW100" s="716"/>
      <c r="EX100" s="716"/>
      <c r="EY100" s="716"/>
      <c r="EZ100" s="716"/>
      <c r="FA100" s="716"/>
      <c r="FB100" s="716"/>
      <c r="FC100" s="716"/>
      <c r="FD100" s="716"/>
      <c r="FE100" s="716"/>
      <c r="FF100" s="716"/>
      <c r="FG100" s="716"/>
      <c r="FH100" s="716"/>
      <c r="FI100" s="716"/>
      <c r="FJ100" s="716"/>
      <c r="FK100" s="716"/>
      <c r="FL100" s="716"/>
      <c r="FM100" s="716"/>
      <c r="FN100" s="716"/>
      <c r="FO100" s="716"/>
      <c r="FP100" s="716"/>
      <c r="FQ100" s="716"/>
      <c r="FR100" s="716"/>
      <c r="FS100" s="716"/>
      <c r="FT100" s="716"/>
      <c r="FU100" s="716"/>
      <c r="FV100" s="716"/>
      <c r="FW100" s="716"/>
      <c r="FX100" s="716"/>
      <c r="FY100" s="716"/>
      <c r="FZ100" s="716"/>
      <c r="GA100" s="716"/>
    </row>
    <row r="101" spans="3:183" hidden="1" x14ac:dyDescent="0.25">
      <c r="I101" s="716"/>
      <c r="AG101" s="716"/>
      <c r="AH101" s="716"/>
      <c r="AI101" s="716"/>
      <c r="AJ101" s="716"/>
      <c r="AK101" s="716"/>
      <c r="AL101" s="716"/>
      <c r="AM101" s="716"/>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6"/>
      <c r="BJ101" s="716"/>
      <c r="BK101" s="716"/>
      <c r="BL101" s="716"/>
      <c r="BM101" s="716"/>
      <c r="BN101" s="716"/>
      <c r="BO101" s="716"/>
      <c r="BP101" s="716"/>
      <c r="BQ101" s="716"/>
      <c r="BR101" s="716"/>
      <c r="BS101" s="716"/>
      <c r="BT101" s="716"/>
      <c r="BU101" s="716"/>
      <c r="BV101" s="716"/>
      <c r="BW101" s="716"/>
      <c r="BX101" s="716"/>
      <c r="BY101" s="716"/>
      <c r="BZ101" s="716"/>
      <c r="CA101" s="716"/>
      <c r="CB101" s="716"/>
      <c r="CC101" s="716"/>
      <c r="CD101" s="716"/>
      <c r="CE101" s="716"/>
      <c r="CF101" s="716"/>
      <c r="CG101" s="716"/>
      <c r="CH101" s="716"/>
      <c r="CI101" s="716"/>
      <c r="CJ101" s="716"/>
      <c r="CK101" s="716"/>
      <c r="CL101" s="716"/>
      <c r="CM101" s="716"/>
      <c r="CN101" s="716"/>
      <c r="CO101" s="716"/>
      <c r="CP101" s="716"/>
      <c r="CQ101" s="716"/>
      <c r="CR101" s="716"/>
      <c r="CS101" s="716"/>
      <c r="CT101" s="716"/>
      <c r="CU101" s="716"/>
      <c r="CV101" s="716"/>
      <c r="CW101" s="716"/>
      <c r="CX101" s="716"/>
      <c r="CY101" s="716"/>
      <c r="CZ101" s="716"/>
      <c r="DA101" s="716"/>
      <c r="DB101" s="716"/>
      <c r="DC101" s="716"/>
      <c r="DD101" s="716"/>
      <c r="DE101" s="716"/>
      <c r="DF101" s="716"/>
      <c r="DG101" s="716"/>
      <c r="DH101" s="716"/>
      <c r="DI101" s="716"/>
      <c r="DJ101" s="716"/>
      <c r="DK101" s="716"/>
      <c r="DL101" s="716"/>
      <c r="DM101" s="716"/>
      <c r="DN101" s="716"/>
      <c r="DO101" s="716"/>
      <c r="DP101" s="716"/>
      <c r="DQ101" s="716"/>
      <c r="DR101" s="716"/>
      <c r="DS101" s="716"/>
      <c r="DT101" s="716"/>
      <c r="DU101" s="716"/>
      <c r="DV101" s="716"/>
      <c r="DW101" s="716"/>
      <c r="DX101" s="716"/>
      <c r="DY101" s="716"/>
      <c r="DZ101" s="716"/>
      <c r="EA101" s="716"/>
      <c r="EB101" s="716"/>
      <c r="EC101" s="716"/>
      <c r="ED101" s="716"/>
      <c r="EE101" s="716"/>
      <c r="EF101" s="716"/>
      <c r="EG101" s="716"/>
      <c r="EH101" s="716"/>
      <c r="EI101" s="716"/>
      <c r="EJ101" s="716"/>
      <c r="EK101" s="716"/>
      <c r="EL101" s="716"/>
      <c r="EM101" s="716"/>
      <c r="EN101" s="716"/>
      <c r="EO101" s="716"/>
      <c r="EP101" s="716"/>
      <c r="EQ101" s="716"/>
      <c r="ER101" s="716"/>
      <c r="ES101" s="716"/>
      <c r="ET101" s="716"/>
      <c r="EU101" s="716"/>
      <c r="EV101" s="716"/>
      <c r="EW101" s="716"/>
      <c r="EX101" s="716"/>
      <c r="EY101" s="716"/>
      <c r="EZ101" s="716"/>
      <c r="FA101" s="716"/>
      <c r="FB101" s="716"/>
      <c r="FC101" s="716"/>
      <c r="FD101" s="716"/>
      <c r="FE101" s="716"/>
      <c r="FF101" s="716"/>
      <c r="FG101" s="716"/>
      <c r="FH101" s="716"/>
      <c r="FI101" s="716"/>
      <c r="FJ101" s="716"/>
      <c r="FK101" s="716"/>
      <c r="FL101" s="716"/>
      <c r="FM101" s="716"/>
      <c r="FN101" s="716"/>
      <c r="FO101" s="716"/>
      <c r="FP101" s="716"/>
      <c r="FQ101" s="716"/>
      <c r="FR101" s="716"/>
      <c r="FS101" s="716"/>
      <c r="FT101" s="716"/>
      <c r="FU101" s="716"/>
      <c r="FV101" s="716"/>
      <c r="FW101" s="716"/>
      <c r="FX101" s="716"/>
      <c r="FY101" s="716"/>
      <c r="FZ101" s="716"/>
      <c r="GA101" s="716"/>
    </row>
    <row r="102" spans="3:183" hidden="1" x14ac:dyDescent="0.25">
      <c r="I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c r="CE102" s="716"/>
      <c r="CF102" s="716"/>
      <c r="CG102" s="716"/>
      <c r="CH102" s="716"/>
      <c r="CI102" s="716"/>
      <c r="CJ102" s="716"/>
      <c r="CK102" s="716"/>
      <c r="CL102" s="716"/>
      <c r="CM102" s="716"/>
      <c r="CN102" s="716"/>
      <c r="CO102" s="716"/>
      <c r="CP102" s="716"/>
      <c r="CQ102" s="716"/>
      <c r="CR102" s="716"/>
      <c r="CS102" s="716"/>
      <c r="CT102" s="716"/>
      <c r="CU102" s="716"/>
      <c r="CV102" s="716"/>
      <c r="CW102" s="716"/>
      <c r="CX102" s="716"/>
      <c r="CY102" s="716"/>
      <c r="CZ102" s="716"/>
      <c r="DA102" s="716"/>
      <c r="DB102" s="716"/>
      <c r="DC102" s="716"/>
      <c r="DD102" s="716"/>
      <c r="DE102" s="716"/>
      <c r="DF102" s="716"/>
      <c r="DG102" s="716"/>
      <c r="DH102" s="716"/>
      <c r="DI102" s="716"/>
      <c r="DJ102" s="716"/>
      <c r="DK102" s="716"/>
      <c r="DL102" s="716"/>
      <c r="DM102" s="716"/>
      <c r="DN102" s="716"/>
      <c r="DO102" s="716"/>
      <c r="DP102" s="716"/>
      <c r="DQ102" s="716"/>
      <c r="DR102" s="716"/>
      <c r="DS102" s="716"/>
      <c r="DT102" s="716"/>
      <c r="DU102" s="716"/>
      <c r="DV102" s="716"/>
      <c r="DW102" s="716"/>
      <c r="DX102" s="716"/>
      <c r="DY102" s="716"/>
      <c r="DZ102" s="716"/>
      <c r="EA102" s="716"/>
      <c r="EB102" s="716"/>
      <c r="EC102" s="716"/>
      <c r="ED102" s="716"/>
      <c r="EE102" s="716"/>
      <c r="EF102" s="716"/>
      <c r="EG102" s="716"/>
      <c r="EH102" s="716"/>
      <c r="EI102" s="716"/>
      <c r="EJ102" s="716"/>
      <c r="EK102" s="716"/>
      <c r="EL102" s="716"/>
      <c r="EM102" s="716"/>
      <c r="EN102" s="716"/>
      <c r="EO102" s="716"/>
      <c r="EP102" s="716"/>
      <c r="EQ102" s="716"/>
      <c r="ER102" s="716"/>
      <c r="ES102" s="716"/>
      <c r="ET102" s="716"/>
      <c r="EU102" s="716"/>
      <c r="EV102" s="716"/>
      <c r="EW102" s="716"/>
      <c r="EX102" s="716"/>
      <c r="EY102" s="716"/>
      <c r="EZ102" s="716"/>
      <c r="FA102" s="716"/>
      <c r="FB102" s="716"/>
      <c r="FC102" s="716"/>
      <c r="FD102" s="716"/>
      <c r="FE102" s="716"/>
      <c r="FF102" s="716"/>
      <c r="FG102" s="716"/>
      <c r="FH102" s="716"/>
      <c r="FI102" s="716"/>
      <c r="FJ102" s="716"/>
      <c r="FK102" s="716"/>
      <c r="FL102" s="716"/>
      <c r="FM102" s="716"/>
      <c r="FN102" s="716"/>
      <c r="FO102" s="716"/>
      <c r="FP102" s="716"/>
      <c r="FQ102" s="716"/>
      <c r="FR102" s="716"/>
      <c r="FS102" s="716"/>
      <c r="FT102" s="716"/>
      <c r="FU102" s="716"/>
      <c r="FV102" s="716"/>
      <c r="FW102" s="716"/>
      <c r="FX102" s="716"/>
      <c r="FY102" s="716"/>
      <c r="FZ102" s="716"/>
      <c r="GA102" s="716"/>
    </row>
    <row r="103" spans="3:183" hidden="1" x14ac:dyDescent="0.25">
      <c r="C103" s="1460" t="s">
        <v>587</v>
      </c>
      <c r="D103" s="1461"/>
      <c r="E103" s="1461"/>
      <c r="F103" s="1461"/>
      <c r="G103" s="1462"/>
      <c r="I103" s="716"/>
      <c r="AG103" s="716"/>
      <c r="AH103" s="716"/>
      <c r="AI103" s="716"/>
      <c r="AJ103" s="716"/>
      <c r="AK103" s="716"/>
      <c r="AL103" s="716"/>
      <c r="AM103" s="716"/>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c r="BR103" s="716"/>
      <c r="BS103" s="716"/>
      <c r="BT103" s="716"/>
      <c r="BU103" s="716"/>
      <c r="BV103" s="716"/>
      <c r="BW103" s="716"/>
      <c r="BX103" s="716"/>
      <c r="BY103" s="716"/>
      <c r="BZ103" s="716"/>
      <c r="CA103" s="716"/>
      <c r="CB103" s="716"/>
      <c r="CC103" s="716"/>
      <c r="CD103" s="716"/>
      <c r="CE103" s="716"/>
      <c r="CF103" s="716"/>
      <c r="CG103" s="716"/>
      <c r="CH103" s="716"/>
      <c r="CI103" s="716"/>
      <c r="CJ103" s="716"/>
      <c r="CK103" s="716"/>
      <c r="CL103" s="716"/>
      <c r="CM103" s="716"/>
      <c r="CN103" s="716"/>
      <c r="CO103" s="716"/>
      <c r="CP103" s="716"/>
      <c r="CQ103" s="716"/>
      <c r="CR103" s="716"/>
      <c r="CS103" s="716"/>
      <c r="CT103" s="716"/>
      <c r="CU103" s="716"/>
      <c r="CV103" s="716"/>
      <c r="CW103" s="716"/>
      <c r="CX103" s="716"/>
      <c r="CY103" s="716"/>
      <c r="CZ103" s="716"/>
      <c r="DA103" s="716"/>
      <c r="DB103" s="716"/>
      <c r="DC103" s="716"/>
      <c r="DD103" s="716"/>
      <c r="DE103" s="716"/>
      <c r="DF103" s="716"/>
      <c r="DG103" s="716"/>
      <c r="DH103" s="716"/>
      <c r="DI103" s="716"/>
      <c r="DJ103" s="716"/>
      <c r="DK103" s="716"/>
      <c r="DL103" s="716"/>
      <c r="DM103" s="716"/>
      <c r="DN103" s="716"/>
      <c r="DO103" s="716"/>
      <c r="DP103" s="716"/>
      <c r="DQ103" s="716"/>
      <c r="DR103" s="716"/>
      <c r="DS103" s="716"/>
      <c r="DT103" s="716"/>
      <c r="DU103" s="716"/>
      <c r="DV103" s="716"/>
      <c r="DW103" s="716"/>
      <c r="DX103" s="716"/>
      <c r="DY103" s="716"/>
      <c r="DZ103" s="716"/>
      <c r="EA103" s="716"/>
      <c r="EB103" s="716"/>
      <c r="EC103" s="716"/>
      <c r="ED103" s="716"/>
      <c r="EE103" s="716"/>
      <c r="EF103" s="716"/>
      <c r="EG103" s="716"/>
      <c r="EH103" s="716"/>
      <c r="EI103" s="716"/>
      <c r="EJ103" s="716"/>
      <c r="EK103" s="716"/>
      <c r="EL103" s="716"/>
      <c r="EM103" s="716"/>
      <c r="EN103" s="716"/>
      <c r="EO103" s="716"/>
      <c r="EP103" s="716"/>
      <c r="EQ103" s="716"/>
      <c r="ER103" s="716"/>
      <c r="ES103" s="716"/>
      <c r="ET103" s="716"/>
      <c r="EU103" s="716"/>
      <c r="EV103" s="716"/>
      <c r="EW103" s="716"/>
      <c r="EX103" s="716"/>
      <c r="EY103" s="716"/>
      <c r="EZ103" s="716"/>
      <c r="FA103" s="716"/>
      <c r="FB103" s="716"/>
      <c r="FC103" s="716"/>
      <c r="FD103" s="716"/>
      <c r="FE103" s="716"/>
      <c r="FF103" s="716"/>
      <c r="FG103" s="716"/>
      <c r="FH103" s="716"/>
      <c r="FI103" s="716"/>
      <c r="FJ103" s="716"/>
      <c r="FK103" s="716"/>
      <c r="FL103" s="716"/>
      <c r="FM103" s="716"/>
      <c r="FN103" s="716"/>
      <c r="FO103" s="716"/>
      <c r="FP103" s="716"/>
      <c r="FQ103" s="716"/>
      <c r="FR103" s="716"/>
      <c r="FS103" s="716"/>
      <c r="FT103" s="716"/>
      <c r="FU103" s="716"/>
      <c r="FV103" s="716"/>
      <c r="FW103" s="716"/>
      <c r="FX103" s="716"/>
      <c r="FY103" s="716"/>
      <c r="FZ103" s="716"/>
      <c r="GA103" s="716"/>
    </row>
    <row r="104" spans="3:183" hidden="1" x14ac:dyDescent="0.25">
      <c r="C104" s="768" t="s">
        <v>588</v>
      </c>
      <c r="D104" s="768" t="s">
        <v>589</v>
      </c>
      <c r="E104" s="769"/>
      <c r="F104" s="768" t="s">
        <v>588</v>
      </c>
      <c r="G104" s="768" t="s">
        <v>589</v>
      </c>
      <c r="I104" s="716"/>
      <c r="AG104" s="716"/>
      <c r="AH104" s="716"/>
      <c r="AI104" s="716"/>
      <c r="AJ104" s="716"/>
      <c r="AK104" s="716"/>
      <c r="AL104" s="716"/>
      <c r="AM104" s="716"/>
      <c r="AN104" s="716"/>
      <c r="AO104" s="716"/>
      <c r="AP104" s="716"/>
      <c r="AQ104" s="716"/>
      <c r="AR104" s="716"/>
      <c r="AS104" s="716"/>
      <c r="AT104" s="716"/>
      <c r="AU104" s="716"/>
      <c r="AV104" s="716"/>
      <c r="AW104" s="716"/>
      <c r="AX104" s="716"/>
      <c r="AY104" s="716"/>
      <c r="AZ104" s="716"/>
      <c r="BA104" s="716"/>
      <c r="BB104" s="716"/>
      <c r="BC104" s="716"/>
      <c r="BD104" s="716"/>
      <c r="BE104" s="716"/>
      <c r="BF104" s="716"/>
      <c r="BG104" s="716"/>
      <c r="BH104" s="716"/>
      <c r="BI104" s="716"/>
      <c r="BJ104" s="716"/>
      <c r="BK104" s="716"/>
      <c r="BL104" s="716"/>
      <c r="BM104" s="716"/>
      <c r="BN104" s="716"/>
      <c r="BO104" s="716"/>
      <c r="BP104" s="716"/>
      <c r="BQ104" s="716"/>
      <c r="BR104" s="716"/>
      <c r="BS104" s="716"/>
      <c r="BT104" s="716"/>
      <c r="BU104" s="716"/>
      <c r="BV104" s="716"/>
      <c r="BW104" s="716"/>
      <c r="BX104" s="716"/>
      <c r="BY104" s="716"/>
      <c r="BZ104" s="716"/>
      <c r="CA104" s="716"/>
      <c r="CB104" s="716"/>
      <c r="CC104" s="716"/>
      <c r="CD104" s="716"/>
      <c r="CE104" s="716"/>
      <c r="CF104" s="716"/>
      <c r="CG104" s="716"/>
      <c r="CH104" s="716"/>
      <c r="CI104" s="716"/>
      <c r="CJ104" s="716"/>
      <c r="CK104" s="716"/>
      <c r="CL104" s="716"/>
      <c r="CM104" s="716"/>
      <c r="CN104" s="716"/>
      <c r="CO104" s="716"/>
      <c r="CP104" s="716"/>
      <c r="CQ104" s="716"/>
      <c r="CR104" s="716"/>
      <c r="CS104" s="716"/>
      <c r="CT104" s="716"/>
      <c r="CU104" s="716"/>
      <c r="CV104" s="716"/>
      <c r="CW104" s="716"/>
      <c r="CX104" s="716"/>
      <c r="CY104" s="716"/>
      <c r="CZ104" s="716"/>
      <c r="DA104" s="716"/>
      <c r="DB104" s="716"/>
      <c r="DC104" s="716"/>
      <c r="DD104" s="716"/>
      <c r="DE104" s="716"/>
      <c r="DF104" s="716"/>
      <c r="DG104" s="716"/>
      <c r="DH104" s="716"/>
      <c r="DI104" s="716"/>
      <c r="DJ104" s="716"/>
      <c r="DK104" s="716"/>
      <c r="DL104" s="716"/>
      <c r="DM104" s="716"/>
      <c r="DN104" s="716"/>
      <c r="DO104" s="716"/>
      <c r="DP104" s="716"/>
      <c r="DQ104" s="716"/>
      <c r="DR104" s="716"/>
      <c r="DS104" s="716"/>
      <c r="DT104" s="716"/>
      <c r="DU104" s="716"/>
      <c r="DV104" s="716"/>
      <c r="DW104" s="716"/>
      <c r="DX104" s="716"/>
      <c r="DY104" s="716"/>
      <c r="DZ104" s="716"/>
      <c r="EA104" s="716"/>
      <c r="EB104" s="716"/>
      <c r="EC104" s="716"/>
      <c r="ED104" s="716"/>
      <c r="EE104" s="716"/>
      <c r="EF104" s="716"/>
      <c r="EG104" s="716"/>
      <c r="EH104" s="716"/>
      <c r="EI104" s="716"/>
      <c r="EJ104" s="716"/>
      <c r="EK104" s="716"/>
      <c r="EL104" s="716"/>
      <c r="EM104" s="716"/>
      <c r="EN104" s="716"/>
      <c r="EO104" s="716"/>
      <c r="EP104" s="716"/>
      <c r="EQ104" s="716"/>
      <c r="ER104" s="716"/>
      <c r="ES104" s="716"/>
      <c r="ET104" s="716"/>
      <c r="EU104" s="716"/>
      <c r="EV104" s="716"/>
      <c r="EW104" s="716"/>
      <c r="EX104" s="716"/>
      <c r="EY104" s="716"/>
      <c r="EZ104" s="716"/>
      <c r="FA104" s="716"/>
      <c r="FB104" s="716"/>
      <c r="FC104" s="716"/>
      <c r="FD104" s="716"/>
      <c r="FE104" s="716"/>
      <c r="FF104" s="716"/>
      <c r="FG104" s="716"/>
      <c r="FH104" s="716"/>
      <c r="FI104" s="716"/>
      <c r="FJ104" s="716"/>
      <c r="FK104" s="716"/>
      <c r="FL104" s="716"/>
      <c r="FM104" s="716"/>
      <c r="FN104" s="716"/>
      <c r="FO104" s="716"/>
      <c r="FP104" s="716"/>
      <c r="FQ104" s="716"/>
      <c r="FR104" s="716"/>
      <c r="FS104" s="716"/>
      <c r="FT104" s="716"/>
      <c r="FU104" s="716"/>
      <c r="FV104" s="716"/>
      <c r="FW104" s="716"/>
      <c r="FX104" s="716"/>
      <c r="FY104" s="716"/>
      <c r="FZ104" s="716"/>
      <c r="GA104" s="716"/>
    </row>
    <row r="105" spans="3:183" hidden="1" x14ac:dyDescent="0.25">
      <c r="C105" s="766">
        <f>C17</f>
        <v>0</v>
      </c>
      <c r="D105" s="766">
        <f>C18</f>
        <v>0</v>
      </c>
      <c r="E105" s="770"/>
      <c r="F105" s="766">
        <f>F17</f>
        <v>0</v>
      </c>
      <c r="G105" s="766">
        <f>F18</f>
        <v>0</v>
      </c>
      <c r="I105" s="716"/>
      <c r="AG105" s="716"/>
      <c r="AH105" s="716"/>
      <c r="AI105" s="716"/>
      <c r="AJ105" s="716"/>
      <c r="AK105" s="716"/>
      <c r="AL105" s="716"/>
      <c r="AM105" s="716"/>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6"/>
      <c r="BJ105" s="716"/>
      <c r="BK105" s="716"/>
      <c r="BL105" s="716"/>
      <c r="BM105" s="716"/>
      <c r="BN105" s="716"/>
      <c r="BO105" s="716"/>
      <c r="BP105" s="716"/>
      <c r="BQ105" s="716"/>
      <c r="BR105" s="716"/>
      <c r="BS105" s="716"/>
      <c r="BT105" s="716"/>
      <c r="BU105" s="716"/>
      <c r="BV105" s="716"/>
      <c r="BW105" s="716"/>
      <c r="BX105" s="716"/>
      <c r="BY105" s="716"/>
      <c r="BZ105" s="716"/>
      <c r="CA105" s="716"/>
      <c r="CB105" s="716"/>
      <c r="CC105" s="716"/>
      <c r="CD105" s="716"/>
      <c r="CE105" s="716"/>
      <c r="CF105" s="716"/>
      <c r="CG105" s="716"/>
      <c r="CH105" s="716"/>
      <c r="CI105" s="716"/>
      <c r="CJ105" s="716"/>
      <c r="CK105" s="716"/>
      <c r="CL105" s="716"/>
      <c r="CM105" s="716"/>
      <c r="CN105" s="716"/>
      <c r="CO105" s="716"/>
      <c r="CP105" s="716"/>
      <c r="CQ105" s="716"/>
      <c r="CR105" s="716"/>
      <c r="CS105" s="716"/>
      <c r="CT105" s="716"/>
      <c r="CU105" s="716"/>
      <c r="CV105" s="716"/>
      <c r="CW105" s="716"/>
      <c r="CX105" s="716"/>
      <c r="CY105" s="716"/>
      <c r="CZ105" s="716"/>
      <c r="DA105" s="716"/>
      <c r="DB105" s="716"/>
      <c r="DC105" s="716"/>
      <c r="DD105" s="716"/>
      <c r="DE105" s="716"/>
      <c r="DF105" s="716"/>
      <c r="DG105" s="716"/>
      <c r="DH105" s="716"/>
      <c r="DI105" s="716"/>
      <c r="DJ105" s="716"/>
      <c r="DK105" s="716"/>
      <c r="DL105" s="716"/>
      <c r="DM105" s="716"/>
      <c r="DN105" s="716"/>
      <c r="DO105" s="716"/>
      <c r="DP105" s="716"/>
      <c r="DQ105" s="716"/>
      <c r="DR105" s="716"/>
      <c r="DS105" s="716"/>
      <c r="DT105" s="716"/>
      <c r="DU105" s="716"/>
      <c r="DV105" s="716"/>
      <c r="DW105" s="716"/>
      <c r="DX105" s="716"/>
      <c r="DY105" s="716"/>
      <c r="DZ105" s="716"/>
      <c r="EA105" s="716"/>
      <c r="EB105" s="716"/>
      <c r="EC105" s="716"/>
      <c r="ED105" s="716"/>
      <c r="EE105" s="716"/>
      <c r="EF105" s="716"/>
      <c r="EG105" s="716"/>
      <c r="EH105" s="716"/>
      <c r="EI105" s="716"/>
      <c r="EJ105" s="716"/>
      <c r="EK105" s="716"/>
      <c r="EL105" s="716"/>
      <c r="EM105" s="716"/>
      <c r="EN105" s="716"/>
      <c r="EO105" s="716"/>
      <c r="EP105" s="716"/>
      <c r="EQ105" s="716"/>
      <c r="ER105" s="716"/>
      <c r="ES105" s="716"/>
      <c r="ET105" s="716"/>
      <c r="EU105" s="716"/>
      <c r="EV105" s="716"/>
      <c r="EW105" s="716"/>
      <c r="EX105" s="716"/>
      <c r="EY105" s="716"/>
      <c r="EZ105" s="716"/>
      <c r="FA105" s="716"/>
      <c r="FB105" s="716"/>
      <c r="FC105" s="716"/>
      <c r="FD105" s="716"/>
      <c r="FE105" s="716"/>
      <c r="FF105" s="716"/>
      <c r="FG105" s="716"/>
      <c r="FH105" s="716"/>
      <c r="FI105" s="716"/>
      <c r="FJ105" s="716"/>
      <c r="FK105" s="716"/>
      <c r="FL105" s="716"/>
      <c r="FM105" s="716"/>
      <c r="FN105" s="716"/>
      <c r="FO105" s="716"/>
      <c r="FP105" s="716"/>
      <c r="FQ105" s="716"/>
      <c r="FR105" s="716"/>
      <c r="FS105" s="716"/>
      <c r="FT105" s="716"/>
      <c r="FU105" s="716"/>
      <c r="FV105" s="716"/>
      <c r="FW105" s="716"/>
      <c r="FX105" s="716"/>
      <c r="FY105" s="716"/>
      <c r="FZ105" s="716"/>
      <c r="GA105" s="716"/>
    </row>
    <row r="106" spans="3:183" hidden="1" x14ac:dyDescent="0.25">
      <c r="C106" s="767">
        <f>D17</f>
        <v>0</v>
      </c>
      <c r="D106" s="767">
        <f>D18</f>
        <v>0</v>
      </c>
      <c r="E106" s="771"/>
      <c r="F106" s="767">
        <f>G17</f>
        <v>0</v>
      </c>
      <c r="G106" s="767">
        <f>G18</f>
        <v>0</v>
      </c>
      <c r="I106" s="716"/>
      <c r="AG106" s="716"/>
      <c r="AH106" s="716"/>
      <c r="AI106" s="716"/>
      <c r="AJ106" s="716"/>
      <c r="AK106" s="716"/>
      <c r="AL106" s="716"/>
      <c r="AM106" s="716"/>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6"/>
      <c r="BJ106" s="716"/>
      <c r="BK106" s="716"/>
      <c r="BL106" s="716"/>
      <c r="BM106" s="716"/>
      <c r="BN106" s="716"/>
      <c r="BO106" s="716"/>
      <c r="BP106" s="716"/>
      <c r="BQ106" s="716"/>
      <c r="BR106" s="716"/>
      <c r="BS106" s="716"/>
      <c r="BT106" s="716"/>
      <c r="BU106" s="716"/>
      <c r="BV106" s="716"/>
      <c r="BW106" s="716"/>
      <c r="BX106" s="716"/>
      <c r="BY106" s="716"/>
      <c r="BZ106" s="716"/>
      <c r="CA106" s="716"/>
      <c r="CB106" s="716"/>
      <c r="CC106" s="716"/>
      <c r="CD106" s="716"/>
      <c r="CE106" s="716"/>
      <c r="CF106" s="716"/>
      <c r="CG106" s="716"/>
      <c r="CH106" s="716"/>
      <c r="CI106" s="716"/>
      <c r="CJ106" s="716"/>
      <c r="CK106" s="716"/>
      <c r="CL106" s="716"/>
      <c r="CM106" s="716"/>
      <c r="CN106" s="716"/>
      <c r="CO106" s="716"/>
      <c r="CP106" s="716"/>
      <c r="CQ106" s="716"/>
      <c r="CR106" s="716"/>
      <c r="CS106" s="716"/>
      <c r="CT106" s="716"/>
      <c r="CU106" s="716"/>
      <c r="CV106" s="716"/>
      <c r="CW106" s="716"/>
      <c r="CX106" s="716"/>
      <c r="CY106" s="716"/>
      <c r="CZ106" s="716"/>
      <c r="DA106" s="716"/>
      <c r="DB106" s="716"/>
      <c r="DC106" s="716"/>
      <c r="DD106" s="716"/>
      <c r="DE106" s="716"/>
      <c r="DF106" s="716"/>
      <c r="DG106" s="716"/>
      <c r="DH106" s="716"/>
      <c r="DI106" s="716"/>
      <c r="DJ106" s="716"/>
      <c r="DK106" s="716"/>
      <c r="DL106" s="716"/>
      <c r="DM106" s="716"/>
      <c r="DN106" s="716"/>
      <c r="DO106" s="716"/>
      <c r="DP106" s="716"/>
      <c r="DQ106" s="716"/>
      <c r="DR106" s="716"/>
      <c r="DS106" s="716"/>
      <c r="DT106" s="716"/>
      <c r="DU106" s="716"/>
      <c r="DV106" s="716"/>
      <c r="DW106" s="716"/>
      <c r="DX106" s="716"/>
      <c r="DY106" s="716"/>
      <c r="DZ106" s="716"/>
      <c r="EA106" s="716"/>
      <c r="EB106" s="716"/>
      <c r="EC106" s="716"/>
      <c r="ED106" s="716"/>
      <c r="EE106" s="716"/>
      <c r="EF106" s="716"/>
      <c r="EG106" s="716"/>
      <c r="EH106" s="716"/>
      <c r="EI106" s="716"/>
      <c r="EJ106" s="716"/>
      <c r="EK106" s="716"/>
      <c r="EL106" s="716"/>
      <c r="EM106" s="716"/>
      <c r="EN106" s="716"/>
      <c r="EO106" s="716"/>
      <c r="EP106" s="716"/>
      <c r="EQ106" s="716"/>
      <c r="ER106" s="716"/>
      <c r="ES106" s="716"/>
      <c r="ET106" s="716"/>
      <c r="EU106" s="716"/>
      <c r="EV106" s="716"/>
      <c r="EW106" s="716"/>
      <c r="EX106" s="716"/>
      <c r="EY106" s="716"/>
      <c r="EZ106" s="716"/>
      <c r="FA106" s="716"/>
      <c r="FB106" s="716"/>
      <c r="FC106" s="716"/>
      <c r="FD106" s="716"/>
      <c r="FE106" s="716"/>
      <c r="FF106" s="716"/>
      <c r="FG106" s="716"/>
      <c r="FH106" s="716"/>
      <c r="FI106" s="716"/>
      <c r="FJ106" s="716"/>
      <c r="FK106" s="716"/>
      <c r="FL106" s="716"/>
      <c r="FM106" s="716"/>
      <c r="FN106" s="716"/>
      <c r="FO106" s="716"/>
      <c r="FP106" s="716"/>
      <c r="FQ106" s="716"/>
      <c r="FR106" s="716"/>
      <c r="FS106" s="716"/>
      <c r="FT106" s="716"/>
      <c r="FU106" s="716"/>
      <c r="FV106" s="716"/>
      <c r="FW106" s="716"/>
      <c r="FX106" s="716"/>
      <c r="FY106" s="716"/>
      <c r="FZ106" s="716"/>
      <c r="GA106" s="716"/>
    </row>
    <row r="107" spans="3:183" hidden="1" x14ac:dyDescent="0.25">
      <c r="C107" s="772" t="s">
        <v>590</v>
      </c>
      <c r="D107" s="1455" t="s">
        <v>591</v>
      </c>
      <c r="E107" s="1456"/>
      <c r="F107" s="1471" t="s">
        <v>592</v>
      </c>
      <c r="G107" s="1472"/>
      <c r="I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6"/>
      <c r="BJ107" s="716"/>
      <c r="BK107" s="716"/>
      <c r="BL107" s="716"/>
      <c r="BM107" s="716"/>
      <c r="BN107" s="716"/>
      <c r="BO107" s="716"/>
      <c r="BP107" s="716"/>
      <c r="BQ107" s="716"/>
      <c r="BR107" s="716"/>
      <c r="BS107" s="716"/>
      <c r="BT107" s="716"/>
      <c r="BU107" s="716"/>
      <c r="BV107" s="716"/>
      <c r="BW107" s="716"/>
      <c r="BX107" s="716"/>
      <c r="BY107" s="716"/>
      <c r="BZ107" s="716"/>
      <c r="CA107" s="716"/>
      <c r="CB107" s="716"/>
      <c r="CC107" s="716"/>
      <c r="CD107" s="716"/>
      <c r="CE107" s="716"/>
      <c r="CF107" s="716"/>
      <c r="CG107" s="716"/>
      <c r="CH107" s="716"/>
      <c r="CI107" s="716"/>
      <c r="CJ107" s="716"/>
      <c r="CK107" s="716"/>
      <c r="CL107" s="716"/>
      <c r="CM107" s="716"/>
      <c r="CN107" s="716"/>
      <c r="CO107" s="716"/>
      <c r="CP107" s="716"/>
      <c r="CQ107" s="716"/>
      <c r="CR107" s="716"/>
      <c r="CS107" s="716"/>
      <c r="CT107" s="716"/>
      <c r="CU107" s="716"/>
      <c r="CV107" s="716"/>
      <c r="CW107" s="716"/>
      <c r="CX107" s="716"/>
      <c r="CY107" s="716"/>
      <c r="CZ107" s="716"/>
      <c r="DA107" s="716"/>
      <c r="DB107" s="716"/>
      <c r="DC107" s="716"/>
      <c r="DD107" s="716"/>
      <c r="DE107" s="716"/>
      <c r="DF107" s="716"/>
      <c r="DG107" s="716"/>
      <c r="DH107" s="716"/>
      <c r="DI107" s="716"/>
      <c r="DJ107" s="716"/>
      <c r="DK107" s="716"/>
      <c r="DL107" s="716"/>
      <c r="DM107" s="716"/>
      <c r="DN107" s="716"/>
      <c r="DO107" s="716"/>
      <c r="DP107" s="716"/>
      <c r="DQ107" s="716"/>
      <c r="DR107" s="716"/>
      <c r="DS107" s="716"/>
      <c r="DT107" s="716"/>
      <c r="DU107" s="716"/>
      <c r="DV107" s="716"/>
      <c r="DW107" s="716"/>
      <c r="DX107" s="716"/>
      <c r="DY107" s="716"/>
      <c r="DZ107" s="716"/>
      <c r="EA107" s="716"/>
      <c r="EB107" s="716"/>
      <c r="EC107" s="716"/>
      <c r="ED107" s="716"/>
      <c r="EE107" s="716"/>
      <c r="EF107" s="716"/>
      <c r="EG107" s="716"/>
      <c r="EH107" s="716"/>
      <c r="EI107" s="716"/>
      <c r="EJ107" s="716"/>
      <c r="EK107" s="716"/>
      <c r="EL107" s="716"/>
      <c r="EM107" s="716"/>
      <c r="EN107" s="716"/>
      <c r="EO107" s="716"/>
      <c r="EP107" s="716"/>
      <c r="EQ107" s="716"/>
      <c r="ER107" s="716"/>
      <c r="ES107" s="716"/>
      <c r="ET107" s="716"/>
      <c r="EU107" s="716"/>
      <c r="EV107" s="716"/>
      <c r="EW107" s="716"/>
      <c r="EX107" s="716"/>
      <c r="EY107" s="716"/>
      <c r="EZ107" s="716"/>
      <c r="FA107" s="716"/>
      <c r="FB107" s="716"/>
      <c r="FC107" s="716"/>
      <c r="FD107" s="716"/>
      <c r="FE107" s="716"/>
      <c r="FF107" s="716"/>
      <c r="FG107" s="716"/>
      <c r="FH107" s="716"/>
      <c r="FI107" s="716"/>
      <c r="FJ107" s="716"/>
      <c r="FK107" s="716"/>
      <c r="FL107" s="716"/>
      <c r="FM107" s="716"/>
      <c r="FN107" s="716"/>
      <c r="FO107" s="716"/>
      <c r="FP107" s="716"/>
      <c r="FQ107" s="716"/>
      <c r="FR107" s="716"/>
      <c r="FS107" s="716"/>
      <c r="FT107" s="716"/>
      <c r="FU107" s="716"/>
      <c r="FV107" s="716"/>
      <c r="FW107" s="716"/>
      <c r="FX107" s="716"/>
      <c r="FY107" s="716"/>
      <c r="FZ107" s="716"/>
      <c r="GA107" s="716"/>
    </row>
    <row r="108" spans="3:183" hidden="1" x14ac:dyDescent="0.25">
      <c r="C108" s="745" t="s">
        <v>593</v>
      </c>
      <c r="D108" s="1457">
        <f>IF(AND(C105&lt;&gt;D105,C106&gt;E97),"Ninguna manutenciòn",IF(AND(C105&lt;&gt;D105,C106&lt;C97),"Manutención pernoctando",IF(AND(C105&lt;&gt;D105,C106&gt;=C97),"1/2 Manutención",0)))</f>
        <v>0</v>
      </c>
      <c r="E108" s="1458"/>
      <c r="F108" s="1466" t="str">
        <f>IF(AND(F106&gt;E97),"Ninguna manutención",IF(AND(F106&lt;C97),"Manutención pernoctando",IF(AND(F106&gt;=C97),"1/2 Manutención",0)))</f>
        <v>Manutención pernoctando</v>
      </c>
      <c r="G108" s="1457"/>
      <c r="I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c r="CA108" s="716"/>
      <c r="CB108" s="716"/>
      <c r="CC108" s="716"/>
      <c r="CD108" s="716"/>
      <c r="CE108" s="716"/>
      <c r="CF108" s="716"/>
      <c r="CG108" s="716"/>
      <c r="CH108" s="716"/>
      <c r="CI108" s="716"/>
      <c r="CJ108" s="716"/>
      <c r="CK108" s="716"/>
      <c r="CL108" s="716"/>
      <c r="CM108" s="716"/>
      <c r="CN108" s="716"/>
      <c r="CO108" s="716"/>
      <c r="CP108" s="716"/>
      <c r="CQ108" s="716"/>
      <c r="CR108" s="716"/>
      <c r="CS108" s="716"/>
      <c r="CT108" s="716"/>
      <c r="CU108" s="716"/>
      <c r="CV108" s="716"/>
      <c r="CW108" s="716"/>
      <c r="CX108" s="716"/>
      <c r="CY108" s="716"/>
      <c r="CZ108" s="716"/>
      <c r="DA108" s="716"/>
      <c r="DB108" s="716"/>
      <c r="DC108" s="716"/>
      <c r="DD108" s="716"/>
      <c r="DE108" s="716"/>
      <c r="DF108" s="716"/>
      <c r="DG108" s="716"/>
      <c r="DH108" s="716"/>
      <c r="DI108" s="716"/>
      <c r="DJ108" s="716"/>
      <c r="DK108" s="716"/>
      <c r="DL108" s="716"/>
      <c r="DM108" s="716"/>
      <c r="DN108" s="716"/>
      <c r="DO108" s="716"/>
      <c r="DP108" s="716"/>
      <c r="DQ108" s="716"/>
      <c r="DR108" s="716"/>
      <c r="DS108" s="716"/>
      <c r="DT108" s="716"/>
      <c r="DU108" s="716"/>
      <c r="DV108" s="716"/>
      <c r="DW108" s="716"/>
      <c r="DX108" s="716"/>
      <c r="DY108" s="716"/>
      <c r="DZ108" s="716"/>
      <c r="EA108" s="716"/>
      <c r="EB108" s="716"/>
      <c r="EC108" s="716"/>
      <c r="ED108" s="716"/>
      <c r="EE108" s="716"/>
      <c r="EF108" s="716"/>
      <c r="EG108" s="716"/>
      <c r="EH108" s="716"/>
      <c r="EI108" s="716"/>
      <c r="EJ108" s="716"/>
      <c r="EK108" s="716"/>
      <c r="EL108" s="716"/>
      <c r="EM108" s="716"/>
      <c r="EN108" s="716"/>
      <c r="EO108" s="716"/>
      <c r="EP108" s="716"/>
      <c r="EQ108" s="716"/>
      <c r="ER108" s="716"/>
      <c r="ES108" s="716"/>
      <c r="ET108" s="716"/>
      <c r="EU108" s="716"/>
      <c r="EV108" s="716"/>
      <c r="EW108" s="716"/>
      <c r="EX108" s="716"/>
      <c r="EY108" s="716"/>
      <c r="EZ108" s="716"/>
      <c r="FA108" s="716"/>
      <c r="FB108" s="716"/>
      <c r="FC108" s="716"/>
      <c r="FD108" s="716"/>
      <c r="FE108" s="716"/>
      <c r="FF108" s="716"/>
      <c r="FG108" s="716"/>
      <c r="FH108" s="716"/>
      <c r="FI108" s="716"/>
      <c r="FJ108" s="716"/>
      <c r="FK108" s="716"/>
      <c r="FL108" s="716"/>
      <c r="FM108" s="716"/>
      <c r="FN108" s="716"/>
      <c r="FO108" s="716"/>
      <c r="FP108" s="716"/>
      <c r="FQ108" s="716"/>
      <c r="FR108" s="716"/>
      <c r="FS108" s="716"/>
      <c r="FT108" s="716"/>
      <c r="FU108" s="716"/>
      <c r="FV108" s="716"/>
      <c r="FW108" s="716"/>
      <c r="FX108" s="716"/>
      <c r="FY108" s="716"/>
      <c r="FZ108" s="716"/>
      <c r="GA108" s="716"/>
    </row>
    <row r="109" spans="3:183" hidden="1" x14ac:dyDescent="0.25">
      <c r="C109" s="773" t="s">
        <v>158</v>
      </c>
      <c r="D109" s="1459">
        <f>IF((D105-C105-1&gt;=1),"Manutención pernoctando",0)</f>
        <v>0</v>
      </c>
      <c r="E109" s="1458"/>
      <c r="F109" s="1205">
        <f>IF((G105-F935-1&gt;=1),"Manutención pernoctando",0)</f>
        <v>0</v>
      </c>
      <c r="G109" s="1457"/>
      <c r="I109" s="716"/>
      <c r="AG109" s="716"/>
      <c r="AH109" s="716"/>
      <c r="AI109" s="716"/>
      <c r="AJ109" s="716"/>
      <c r="AK109" s="716"/>
      <c r="AL109" s="716"/>
      <c r="AM109" s="716"/>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6"/>
      <c r="BJ109" s="716"/>
      <c r="BK109" s="716"/>
      <c r="BL109" s="716"/>
      <c r="BM109" s="716"/>
      <c r="BN109" s="716"/>
      <c r="BO109" s="716"/>
      <c r="BP109" s="716"/>
      <c r="BQ109" s="716"/>
      <c r="BR109" s="716"/>
      <c r="BS109" s="716"/>
      <c r="BT109" s="716"/>
      <c r="BU109" s="716"/>
      <c r="BV109" s="716"/>
      <c r="BW109" s="716"/>
      <c r="BX109" s="716"/>
      <c r="BY109" s="716"/>
      <c r="BZ109" s="716"/>
      <c r="CA109" s="716"/>
      <c r="CB109" s="716"/>
      <c r="CC109" s="716"/>
      <c r="CD109" s="716"/>
      <c r="CE109" s="716"/>
      <c r="CF109" s="716"/>
      <c r="CG109" s="716"/>
      <c r="CH109" s="716"/>
      <c r="CI109" s="716"/>
      <c r="CJ109" s="716"/>
      <c r="CK109" s="716"/>
      <c r="CL109" s="716"/>
      <c r="CM109" s="716"/>
      <c r="CN109" s="716"/>
      <c r="CO109" s="716"/>
      <c r="CP109" s="716"/>
      <c r="CQ109" s="716"/>
      <c r="CR109" s="716"/>
      <c r="CS109" s="716"/>
      <c r="CT109" s="716"/>
      <c r="CU109" s="716"/>
      <c r="CV109" s="716"/>
      <c r="CW109" s="716"/>
      <c r="CX109" s="716"/>
      <c r="CY109" s="716"/>
      <c r="CZ109" s="716"/>
      <c r="DA109" s="716"/>
      <c r="DB109" s="716"/>
      <c r="DC109" s="716"/>
      <c r="DD109" s="716"/>
      <c r="DE109" s="716"/>
      <c r="DF109" s="716"/>
      <c r="DG109" s="716"/>
      <c r="DH109" s="716"/>
      <c r="DI109" s="716"/>
      <c r="DJ109" s="716"/>
      <c r="DK109" s="716"/>
      <c r="DL109" s="716"/>
      <c r="DM109" s="716"/>
      <c r="DN109" s="716"/>
      <c r="DO109" s="716"/>
      <c r="DP109" s="716"/>
      <c r="DQ109" s="716"/>
      <c r="DR109" s="716"/>
      <c r="DS109" s="716"/>
      <c r="DT109" s="716"/>
      <c r="DU109" s="716"/>
      <c r="DV109" s="716"/>
      <c r="DW109" s="716"/>
      <c r="DX109" s="716"/>
      <c r="DY109" s="716"/>
      <c r="DZ109" s="716"/>
      <c r="EA109" s="716"/>
      <c r="EB109" s="716"/>
      <c r="EC109" s="716"/>
      <c r="ED109" s="716"/>
      <c r="EE109" s="716"/>
      <c r="EF109" s="716"/>
      <c r="EG109" s="716"/>
      <c r="EH109" s="716"/>
      <c r="EI109" s="716"/>
      <c r="EJ109" s="716"/>
      <c r="EK109" s="716"/>
      <c r="EL109" s="716"/>
      <c r="EM109" s="716"/>
      <c r="EN109" s="716"/>
      <c r="EO109" s="716"/>
      <c r="EP109" s="716"/>
      <c r="EQ109" s="716"/>
      <c r="ER109" s="716"/>
      <c r="ES109" s="716"/>
      <c r="ET109" s="716"/>
      <c r="EU109" s="716"/>
      <c r="EV109" s="716"/>
      <c r="EW109" s="716"/>
      <c r="EX109" s="716"/>
      <c r="EY109" s="716"/>
      <c r="EZ109" s="716"/>
      <c r="FA109" s="716"/>
      <c r="FB109" s="716"/>
      <c r="FC109" s="716"/>
      <c r="FD109" s="716"/>
      <c r="FE109" s="716"/>
      <c r="FF109" s="716"/>
      <c r="FG109" s="716"/>
      <c r="FH109" s="716"/>
      <c r="FI109" s="716"/>
      <c r="FJ109" s="716"/>
      <c r="FK109" s="716"/>
      <c r="FL109" s="716"/>
      <c r="FM109" s="716"/>
      <c r="FN109" s="716"/>
      <c r="FO109" s="716"/>
      <c r="FP109" s="716"/>
      <c r="FQ109" s="716"/>
      <c r="FR109" s="716"/>
      <c r="FS109" s="716"/>
      <c r="FT109" s="716"/>
      <c r="FU109" s="716"/>
      <c r="FV109" s="716"/>
      <c r="FW109" s="716"/>
      <c r="FX109" s="716"/>
      <c r="FY109" s="716"/>
      <c r="FZ109" s="716"/>
      <c r="GA109" s="716"/>
    </row>
    <row r="110" spans="3:183" hidden="1" x14ac:dyDescent="0.25">
      <c r="C110" s="745" t="s">
        <v>594</v>
      </c>
      <c r="D110" s="1457">
        <f>IF(AND(C105&lt;&gt;D105,D106&lt;D97),"Ninguna manutención",IF(AND(C105&lt;&gt;D105,D106&gt;=D97,D106&lt;=E97),"1/2 Manutención",IF(AND(C105&lt;&gt;D105,D106&gt;E97),"Manutención sin pernoctar",0)))</f>
        <v>0</v>
      </c>
      <c r="E110" s="1458"/>
      <c r="F110" s="1466" t="str">
        <f>IF(AND(G106&lt;D97),"Ninguna manutención",IF(AND(G106&gt;=D97,G106&lt;=E97),"1/2 Manutención",IF(AND(G106&gt;E97),"Manutención sin pernoctar",0)))</f>
        <v>Ninguna manutención</v>
      </c>
      <c r="G110" s="1457"/>
      <c r="I110" s="716"/>
      <c r="AG110" s="716"/>
      <c r="AH110" s="716"/>
      <c r="AI110" s="716"/>
      <c r="AJ110" s="716"/>
      <c r="AK110" s="716"/>
      <c r="AL110" s="716"/>
      <c r="AM110" s="716"/>
      <c r="AN110" s="716"/>
      <c r="AO110" s="716"/>
      <c r="AP110" s="716"/>
      <c r="AQ110" s="716"/>
      <c r="AR110" s="716"/>
      <c r="AS110" s="716"/>
      <c r="AT110" s="716"/>
      <c r="AU110" s="716"/>
      <c r="AV110" s="716"/>
      <c r="AW110" s="716"/>
      <c r="AX110" s="716"/>
      <c r="AY110" s="716"/>
      <c r="AZ110" s="716"/>
      <c r="BA110" s="716"/>
      <c r="BB110" s="716"/>
      <c r="BC110" s="716"/>
      <c r="BD110" s="716"/>
      <c r="BE110" s="716"/>
      <c r="BF110" s="716"/>
      <c r="BG110" s="716"/>
      <c r="BH110" s="716"/>
      <c r="BI110" s="716"/>
      <c r="BJ110" s="716"/>
      <c r="BK110" s="716"/>
      <c r="BL110" s="716"/>
      <c r="BM110" s="716"/>
      <c r="BN110" s="716"/>
      <c r="BO110" s="716"/>
      <c r="BP110" s="716"/>
      <c r="BQ110" s="716"/>
      <c r="BR110" s="716"/>
      <c r="BS110" s="716"/>
      <c r="BT110" s="716"/>
      <c r="BU110" s="716"/>
      <c r="BV110" s="716"/>
      <c r="BW110" s="716"/>
      <c r="BX110" s="716"/>
      <c r="BY110" s="716"/>
      <c r="BZ110" s="716"/>
      <c r="CA110" s="716"/>
      <c r="CB110" s="716"/>
      <c r="CC110" s="716"/>
      <c r="CD110" s="716"/>
      <c r="CE110" s="716"/>
      <c r="CF110" s="716"/>
      <c r="CG110" s="716"/>
      <c r="CH110" s="716"/>
      <c r="CI110" s="716"/>
      <c r="CJ110" s="716"/>
      <c r="CK110" s="716"/>
      <c r="CL110" s="716"/>
      <c r="CM110" s="716"/>
      <c r="CN110" s="716"/>
      <c r="CO110" s="716"/>
      <c r="CP110" s="716"/>
      <c r="CQ110" s="716"/>
      <c r="CR110" s="716"/>
      <c r="CS110" s="716"/>
      <c r="CT110" s="716"/>
      <c r="CU110" s="716"/>
      <c r="CV110" s="716"/>
      <c r="CW110" s="716"/>
      <c r="CX110" s="716"/>
      <c r="CY110" s="716"/>
      <c r="CZ110" s="716"/>
      <c r="DA110" s="716"/>
      <c r="DB110" s="716"/>
      <c r="DC110" s="716"/>
      <c r="DD110" s="716"/>
      <c r="DE110" s="716"/>
      <c r="DF110" s="716"/>
      <c r="DG110" s="716"/>
      <c r="DH110" s="716"/>
      <c r="DI110" s="716"/>
      <c r="DJ110" s="716"/>
      <c r="DK110" s="716"/>
      <c r="DL110" s="716"/>
      <c r="DM110" s="716"/>
      <c r="DN110" s="716"/>
      <c r="DO110" s="716"/>
      <c r="DP110" s="716"/>
      <c r="DQ110" s="716"/>
      <c r="DR110" s="716"/>
      <c r="DS110" s="716"/>
      <c r="DT110" s="716"/>
      <c r="DU110" s="716"/>
      <c r="DV110" s="716"/>
      <c r="DW110" s="716"/>
      <c r="DX110" s="716"/>
      <c r="DY110" s="716"/>
      <c r="DZ110" s="716"/>
      <c r="EA110" s="716"/>
      <c r="EB110" s="716"/>
      <c r="EC110" s="716"/>
      <c r="ED110" s="716"/>
      <c r="EE110" s="716"/>
      <c r="EF110" s="716"/>
      <c r="EG110" s="716"/>
      <c r="EH110" s="716"/>
      <c r="EI110" s="716"/>
      <c r="EJ110" s="716"/>
      <c r="EK110" s="716"/>
      <c r="EL110" s="716"/>
      <c r="EM110" s="716"/>
      <c r="EN110" s="716"/>
      <c r="EO110" s="716"/>
      <c r="EP110" s="716"/>
      <c r="EQ110" s="716"/>
      <c r="ER110" s="716"/>
      <c r="ES110" s="716"/>
      <c r="ET110" s="716"/>
      <c r="EU110" s="716"/>
      <c r="EV110" s="716"/>
      <c r="EW110" s="716"/>
      <c r="EX110" s="716"/>
      <c r="EY110" s="716"/>
      <c r="EZ110" s="716"/>
      <c r="FA110" s="716"/>
      <c r="FB110" s="716"/>
      <c r="FC110" s="716"/>
      <c r="FD110" s="716"/>
      <c r="FE110" s="716"/>
      <c r="FF110" s="716"/>
      <c r="FG110" s="716"/>
      <c r="FH110" s="716"/>
      <c r="FI110" s="716"/>
      <c r="FJ110" s="716"/>
      <c r="FK110" s="716"/>
      <c r="FL110" s="716"/>
      <c r="FM110" s="716"/>
      <c r="FN110" s="716"/>
      <c r="FO110" s="716"/>
      <c r="FP110" s="716"/>
      <c r="FQ110" s="716"/>
      <c r="FR110" s="716"/>
      <c r="FS110" s="716"/>
      <c r="FT110" s="716"/>
      <c r="FU110" s="716"/>
      <c r="FV110" s="716"/>
      <c r="FW110" s="716"/>
      <c r="FX110" s="716"/>
      <c r="FY110" s="716"/>
      <c r="FZ110" s="716"/>
      <c r="GA110" s="716"/>
    </row>
    <row r="111" spans="3:183" hidden="1" x14ac:dyDescent="0.25">
      <c r="I111" s="716"/>
      <c r="AG111" s="716"/>
      <c r="AH111" s="716"/>
      <c r="AI111" s="716"/>
      <c r="AJ111" s="716"/>
      <c r="AK111" s="716"/>
      <c r="AL111" s="716"/>
      <c r="AM111" s="716"/>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6"/>
      <c r="BJ111" s="716"/>
      <c r="BK111" s="716"/>
      <c r="BL111" s="716"/>
      <c r="BM111" s="716"/>
      <c r="BN111" s="716"/>
      <c r="BO111" s="716"/>
      <c r="BP111" s="716"/>
      <c r="BQ111" s="716"/>
      <c r="BR111" s="716"/>
      <c r="BS111" s="716"/>
      <c r="BT111" s="716"/>
      <c r="BU111" s="716"/>
      <c r="BV111" s="716"/>
      <c r="BW111" s="716"/>
      <c r="BX111" s="716"/>
      <c r="BY111" s="716"/>
      <c r="BZ111" s="716"/>
      <c r="CA111" s="716"/>
      <c r="CB111" s="716"/>
      <c r="CC111" s="716"/>
      <c r="CD111" s="716"/>
      <c r="CE111" s="716"/>
      <c r="CF111" s="716"/>
      <c r="CG111" s="716"/>
      <c r="CH111" s="716"/>
      <c r="CI111" s="716"/>
      <c r="CJ111" s="716"/>
      <c r="CK111" s="716"/>
      <c r="CL111" s="716"/>
      <c r="CM111" s="716"/>
      <c r="CN111" s="716"/>
      <c r="CO111" s="716"/>
      <c r="CP111" s="716"/>
      <c r="CQ111" s="716"/>
      <c r="CR111" s="716"/>
      <c r="CS111" s="716"/>
      <c r="CT111" s="716"/>
      <c r="CU111" s="716"/>
      <c r="CV111" s="716"/>
      <c r="CW111" s="716"/>
      <c r="CX111" s="716"/>
      <c r="CY111" s="716"/>
      <c r="CZ111" s="716"/>
      <c r="DA111" s="716"/>
      <c r="DB111" s="716"/>
      <c r="DC111" s="716"/>
      <c r="DD111" s="716"/>
      <c r="DE111" s="716"/>
      <c r="DF111" s="716"/>
      <c r="DG111" s="716"/>
      <c r="DH111" s="716"/>
      <c r="DI111" s="716"/>
      <c r="DJ111" s="716"/>
      <c r="DK111" s="716"/>
      <c r="DL111" s="716"/>
      <c r="DM111" s="716"/>
      <c r="DN111" s="716"/>
      <c r="DO111" s="716"/>
      <c r="DP111" s="716"/>
      <c r="DQ111" s="716"/>
      <c r="DR111" s="716"/>
      <c r="DS111" s="716"/>
      <c r="DT111" s="716"/>
      <c r="DU111" s="716"/>
      <c r="DV111" s="716"/>
      <c r="DW111" s="716"/>
      <c r="DX111" s="716"/>
      <c r="DY111" s="716"/>
      <c r="DZ111" s="716"/>
      <c r="EA111" s="716"/>
      <c r="EB111" s="716"/>
      <c r="EC111" s="716"/>
      <c r="ED111" s="716"/>
      <c r="EE111" s="716"/>
      <c r="EF111" s="716"/>
      <c r="EG111" s="716"/>
      <c r="EH111" s="716"/>
      <c r="EI111" s="716"/>
      <c r="EJ111" s="716"/>
      <c r="EK111" s="716"/>
      <c r="EL111" s="716"/>
      <c r="EM111" s="716"/>
      <c r="EN111" s="716"/>
      <c r="EO111" s="716"/>
      <c r="EP111" s="716"/>
      <c r="EQ111" s="716"/>
      <c r="ER111" s="716"/>
      <c r="ES111" s="716"/>
      <c r="ET111" s="716"/>
      <c r="EU111" s="716"/>
      <c r="EV111" s="716"/>
      <c r="EW111" s="716"/>
      <c r="EX111" s="716"/>
      <c r="EY111" s="716"/>
      <c r="EZ111" s="716"/>
      <c r="FA111" s="716"/>
      <c r="FB111" s="716"/>
      <c r="FC111" s="716"/>
      <c r="FD111" s="716"/>
      <c r="FE111" s="716"/>
      <c r="FF111" s="716"/>
      <c r="FG111" s="716"/>
      <c r="FH111" s="716"/>
      <c r="FI111" s="716"/>
      <c r="FJ111" s="716"/>
      <c r="FK111" s="716"/>
      <c r="FL111" s="716"/>
      <c r="FM111" s="716"/>
      <c r="FN111" s="716"/>
      <c r="FO111" s="716"/>
      <c r="FP111" s="716"/>
      <c r="FQ111" s="716"/>
      <c r="FR111" s="716"/>
      <c r="FS111" s="716"/>
      <c r="FT111" s="716"/>
      <c r="FU111" s="716"/>
      <c r="FV111" s="716"/>
      <c r="FW111" s="716"/>
      <c r="FX111" s="716"/>
      <c r="FY111" s="716"/>
      <c r="FZ111" s="716"/>
      <c r="GA111" s="716"/>
    </row>
    <row r="112" spans="3:183" hidden="1" x14ac:dyDescent="0.25">
      <c r="I112" s="716"/>
      <c r="AG112" s="716"/>
      <c r="AH112" s="716"/>
      <c r="AI112" s="716"/>
      <c r="AJ112" s="716"/>
      <c r="AK112" s="716"/>
      <c r="AL112" s="716"/>
      <c r="AM112" s="716"/>
      <c r="AN112" s="716"/>
      <c r="AO112" s="716"/>
      <c r="AP112" s="716"/>
      <c r="AQ112" s="716"/>
      <c r="AR112" s="716"/>
      <c r="AS112" s="716"/>
      <c r="AT112" s="716"/>
      <c r="AU112" s="716"/>
      <c r="AV112" s="716"/>
      <c r="AW112" s="716"/>
      <c r="AX112" s="716"/>
      <c r="AY112" s="716"/>
      <c r="AZ112" s="716"/>
      <c r="BA112" s="716"/>
      <c r="BB112" s="716"/>
      <c r="BC112" s="716"/>
      <c r="BD112" s="716"/>
      <c r="BE112" s="716"/>
      <c r="BF112" s="716"/>
      <c r="BG112" s="716"/>
      <c r="BH112" s="716"/>
      <c r="BI112" s="716"/>
      <c r="BJ112" s="716"/>
      <c r="BK112" s="716"/>
      <c r="BL112" s="716"/>
      <c r="BM112" s="716"/>
      <c r="BN112" s="716"/>
      <c r="BO112" s="716"/>
      <c r="BP112" s="716"/>
      <c r="BQ112" s="716"/>
      <c r="BR112" s="716"/>
      <c r="BS112" s="716"/>
      <c r="BT112" s="716"/>
      <c r="BU112" s="716"/>
      <c r="BV112" s="716"/>
      <c r="BW112" s="716"/>
      <c r="BX112" s="716"/>
      <c r="BY112" s="716"/>
      <c r="BZ112" s="716"/>
      <c r="CA112" s="716"/>
      <c r="CB112" s="716"/>
      <c r="CC112" s="716"/>
      <c r="CD112" s="716"/>
      <c r="CE112" s="716"/>
      <c r="CF112" s="716"/>
      <c r="CG112" s="716"/>
      <c r="CH112" s="716"/>
      <c r="CI112" s="716"/>
      <c r="CJ112" s="716"/>
      <c r="CK112" s="716"/>
      <c r="CL112" s="716"/>
      <c r="CM112" s="716"/>
      <c r="CN112" s="716"/>
      <c r="CO112" s="716"/>
      <c r="CP112" s="716"/>
      <c r="CQ112" s="716"/>
      <c r="CR112" s="716"/>
      <c r="CS112" s="716"/>
      <c r="CT112" s="716"/>
      <c r="CU112" s="716"/>
      <c r="CV112" s="716"/>
      <c r="CW112" s="716"/>
      <c r="CX112" s="716"/>
      <c r="CY112" s="716"/>
      <c r="CZ112" s="716"/>
      <c r="DA112" s="716"/>
      <c r="DB112" s="716"/>
      <c r="DC112" s="716"/>
      <c r="DD112" s="716"/>
      <c r="DE112" s="716"/>
      <c r="DF112" s="716"/>
      <c r="DG112" s="716"/>
      <c r="DH112" s="716"/>
      <c r="DI112" s="716"/>
      <c r="DJ112" s="716"/>
      <c r="DK112" s="716"/>
      <c r="DL112" s="716"/>
      <c r="DM112" s="716"/>
      <c r="DN112" s="716"/>
      <c r="DO112" s="716"/>
      <c r="DP112" s="716"/>
      <c r="DQ112" s="716"/>
      <c r="DR112" s="716"/>
      <c r="DS112" s="716"/>
      <c r="DT112" s="716"/>
      <c r="DU112" s="716"/>
      <c r="DV112" s="716"/>
      <c r="DW112" s="716"/>
      <c r="DX112" s="716"/>
      <c r="DY112" s="716"/>
      <c r="DZ112" s="716"/>
      <c r="EA112" s="716"/>
      <c r="EB112" s="716"/>
      <c r="EC112" s="716"/>
      <c r="ED112" s="716"/>
      <c r="EE112" s="716"/>
      <c r="EF112" s="716"/>
      <c r="EG112" s="716"/>
      <c r="EH112" s="716"/>
      <c r="EI112" s="716"/>
      <c r="EJ112" s="716"/>
      <c r="EK112" s="716"/>
      <c r="EL112" s="716"/>
      <c r="EM112" s="716"/>
      <c r="EN112" s="716"/>
      <c r="EO112" s="716"/>
      <c r="EP112" s="716"/>
      <c r="EQ112" s="716"/>
      <c r="ER112" s="716"/>
      <c r="ES112" s="716"/>
      <c r="ET112" s="716"/>
      <c r="EU112" s="716"/>
      <c r="EV112" s="716"/>
      <c r="EW112" s="716"/>
      <c r="EX112" s="716"/>
      <c r="EY112" s="716"/>
      <c r="EZ112" s="716"/>
      <c r="FA112" s="716"/>
      <c r="FB112" s="716"/>
      <c r="FC112" s="716"/>
      <c r="FD112" s="716"/>
      <c r="FE112" s="716"/>
      <c r="FF112" s="716"/>
      <c r="FG112" s="716"/>
      <c r="FH112" s="716"/>
      <c r="FI112" s="716"/>
      <c r="FJ112" s="716"/>
      <c r="FK112" s="716"/>
      <c r="FL112" s="716"/>
      <c r="FM112" s="716"/>
      <c r="FN112" s="716"/>
      <c r="FO112" s="716"/>
      <c r="FP112" s="716"/>
      <c r="FQ112" s="716"/>
      <c r="FR112" s="716"/>
      <c r="FS112" s="716"/>
      <c r="FT112" s="716"/>
      <c r="FU112" s="716"/>
      <c r="FV112" s="716"/>
      <c r="FW112" s="716"/>
      <c r="FX112" s="716"/>
      <c r="FY112" s="716"/>
      <c r="FZ112" s="716"/>
      <c r="GA112" s="716"/>
    </row>
    <row r="113" spans="3:183" hidden="1" x14ac:dyDescent="0.25">
      <c r="C113" s="1460" t="s">
        <v>595</v>
      </c>
      <c r="D113" s="1461"/>
      <c r="E113" s="1461"/>
      <c r="F113" s="1461"/>
      <c r="G113" s="1462"/>
      <c r="I113" s="716"/>
      <c r="AG113" s="716"/>
      <c r="AH113" s="716"/>
      <c r="AI113" s="716"/>
      <c r="AJ113" s="716"/>
      <c r="AK113" s="716"/>
      <c r="AL113" s="716"/>
      <c r="AM113" s="716"/>
      <c r="AN113" s="716"/>
      <c r="AO113" s="716"/>
      <c r="AP113" s="716"/>
      <c r="AQ113" s="716"/>
      <c r="AR113" s="716"/>
      <c r="AS113" s="716"/>
      <c r="AT113" s="716"/>
      <c r="AU113" s="716"/>
      <c r="AV113" s="716"/>
      <c r="AW113" s="716"/>
      <c r="AX113" s="716"/>
      <c r="AY113" s="716"/>
      <c r="AZ113" s="716"/>
      <c r="BA113" s="716"/>
      <c r="BB113" s="716"/>
      <c r="BC113" s="716"/>
      <c r="BD113" s="716"/>
      <c r="BE113" s="716"/>
      <c r="BF113" s="716"/>
      <c r="BG113" s="716"/>
      <c r="BH113" s="716"/>
      <c r="BI113" s="716"/>
      <c r="BJ113" s="716"/>
      <c r="BK113" s="716"/>
      <c r="BL113" s="716"/>
      <c r="BM113" s="716"/>
      <c r="BN113" s="716"/>
      <c r="BO113" s="716"/>
      <c r="BP113" s="716"/>
      <c r="BQ113" s="716"/>
      <c r="BR113" s="716"/>
      <c r="BS113" s="716"/>
      <c r="BT113" s="716"/>
      <c r="BU113" s="716"/>
      <c r="BV113" s="716"/>
      <c r="BW113" s="716"/>
      <c r="BX113" s="716"/>
      <c r="BY113" s="716"/>
      <c r="BZ113" s="716"/>
      <c r="CA113" s="716"/>
      <c r="CB113" s="716"/>
      <c r="CC113" s="716"/>
      <c r="CD113" s="716"/>
      <c r="CE113" s="716"/>
      <c r="CF113" s="716"/>
      <c r="CG113" s="716"/>
      <c r="CH113" s="716"/>
      <c r="CI113" s="716"/>
      <c r="CJ113" s="716"/>
      <c r="CK113" s="716"/>
      <c r="CL113" s="716"/>
      <c r="CM113" s="716"/>
      <c r="CN113" s="716"/>
      <c r="CO113" s="716"/>
      <c r="CP113" s="716"/>
      <c r="CQ113" s="716"/>
      <c r="CR113" s="716"/>
      <c r="CS113" s="716"/>
      <c r="CT113" s="716"/>
      <c r="CU113" s="716"/>
      <c r="CV113" s="716"/>
      <c r="CW113" s="716"/>
      <c r="CX113" s="716"/>
      <c r="CY113" s="716"/>
      <c r="CZ113" s="716"/>
      <c r="DA113" s="716"/>
      <c r="DB113" s="716"/>
      <c r="DC113" s="716"/>
      <c r="DD113" s="716"/>
      <c r="DE113" s="716"/>
      <c r="DF113" s="716"/>
      <c r="DG113" s="716"/>
      <c r="DH113" s="716"/>
      <c r="DI113" s="716"/>
      <c r="DJ113" s="716"/>
      <c r="DK113" s="716"/>
      <c r="DL113" s="716"/>
      <c r="DM113" s="716"/>
      <c r="DN113" s="716"/>
      <c r="DO113" s="716"/>
      <c r="DP113" s="716"/>
      <c r="DQ113" s="716"/>
      <c r="DR113" s="716"/>
      <c r="DS113" s="716"/>
      <c r="DT113" s="716"/>
      <c r="DU113" s="716"/>
      <c r="DV113" s="716"/>
      <c r="DW113" s="716"/>
      <c r="DX113" s="716"/>
      <c r="DY113" s="716"/>
      <c r="DZ113" s="716"/>
      <c r="EA113" s="716"/>
      <c r="EB113" s="716"/>
      <c r="EC113" s="716"/>
      <c r="ED113" s="716"/>
      <c r="EE113" s="716"/>
      <c r="EF113" s="716"/>
      <c r="EG113" s="716"/>
      <c r="EH113" s="716"/>
      <c r="EI113" s="716"/>
      <c r="EJ113" s="716"/>
      <c r="EK113" s="716"/>
      <c r="EL113" s="716"/>
      <c r="EM113" s="716"/>
      <c r="EN113" s="716"/>
      <c r="EO113" s="716"/>
      <c r="EP113" s="716"/>
      <c r="EQ113" s="716"/>
      <c r="ER113" s="716"/>
      <c r="ES113" s="716"/>
      <c r="ET113" s="716"/>
      <c r="EU113" s="716"/>
      <c r="EV113" s="716"/>
      <c r="EW113" s="716"/>
      <c r="EX113" s="716"/>
      <c r="EY113" s="716"/>
      <c r="EZ113" s="716"/>
      <c r="FA113" s="716"/>
      <c r="FB113" s="716"/>
      <c r="FC113" s="716"/>
      <c r="FD113" s="716"/>
      <c r="FE113" s="716"/>
      <c r="FF113" s="716"/>
      <c r="FG113" s="716"/>
      <c r="FH113" s="716"/>
      <c r="FI113" s="716"/>
      <c r="FJ113" s="716"/>
      <c r="FK113" s="716"/>
      <c r="FL113" s="716"/>
      <c r="FM113" s="716"/>
      <c r="FN113" s="716"/>
      <c r="FO113" s="716"/>
      <c r="FP113" s="716"/>
      <c r="FQ113" s="716"/>
      <c r="FR113" s="716"/>
      <c r="FS113" s="716"/>
      <c r="FT113" s="716"/>
      <c r="FU113" s="716"/>
      <c r="FV113" s="716"/>
      <c r="FW113" s="716"/>
      <c r="FX113" s="716"/>
      <c r="FY113" s="716"/>
      <c r="FZ113" s="716"/>
      <c r="GA113" s="716"/>
    </row>
    <row r="114" spans="3:183" hidden="1" x14ac:dyDescent="0.25">
      <c r="C114" s="486" t="s">
        <v>596</v>
      </c>
      <c r="D114" s="486" t="s">
        <v>597</v>
      </c>
      <c r="E114" s="1463">
        <f>D40</f>
        <v>0</v>
      </c>
      <c r="I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c r="CA114" s="716"/>
      <c r="CB114" s="716"/>
      <c r="CC114" s="716"/>
      <c r="CD114" s="716"/>
      <c r="CE114" s="716"/>
      <c r="CF114" s="716"/>
      <c r="CG114" s="716"/>
      <c r="CH114" s="716"/>
      <c r="CI114" s="716"/>
      <c r="CJ114" s="716"/>
      <c r="CK114" s="716"/>
      <c r="CL114" s="716"/>
      <c r="CM114" s="716"/>
      <c r="CN114" s="716"/>
      <c r="CO114" s="716"/>
      <c r="CP114" s="716"/>
      <c r="CQ114" s="716"/>
      <c r="CR114" s="716"/>
      <c r="CS114" s="716"/>
      <c r="CT114" s="716"/>
      <c r="CU114" s="716"/>
      <c r="CV114" s="716"/>
      <c r="CW114" s="716"/>
      <c r="CX114" s="716"/>
      <c r="CY114" s="716"/>
      <c r="CZ114" s="716"/>
      <c r="DA114" s="716"/>
      <c r="DB114" s="716"/>
      <c r="DC114" s="716"/>
      <c r="DD114" s="716"/>
      <c r="DE114" s="716"/>
      <c r="DF114" s="716"/>
      <c r="DG114" s="716"/>
      <c r="DH114" s="716"/>
      <c r="DI114" s="716"/>
      <c r="DJ114" s="716"/>
      <c r="DK114" s="716"/>
      <c r="DL114" s="716"/>
      <c r="DM114" s="716"/>
      <c r="DN114" s="716"/>
      <c r="DO114" s="716"/>
      <c r="DP114" s="716"/>
      <c r="DQ114" s="716"/>
      <c r="DR114" s="716"/>
      <c r="DS114" s="716"/>
      <c r="DT114" s="716"/>
      <c r="DU114" s="716"/>
      <c r="DV114" s="716"/>
      <c r="DW114" s="716"/>
      <c r="DX114" s="716"/>
      <c r="DY114" s="716"/>
      <c r="DZ114" s="716"/>
      <c r="EA114" s="716"/>
      <c r="EB114" s="716"/>
      <c r="EC114" s="716"/>
      <c r="ED114" s="716"/>
      <c r="EE114" s="716"/>
      <c r="EF114" s="716"/>
      <c r="EG114" s="716"/>
      <c r="EH114" s="716"/>
      <c r="EI114" s="716"/>
      <c r="EJ114" s="716"/>
      <c r="EK114" s="716"/>
      <c r="EL114" s="716"/>
      <c r="EM114" s="716"/>
      <c r="EN114" s="716"/>
      <c r="EO114" s="716"/>
      <c r="EP114" s="716"/>
      <c r="EQ114" s="716"/>
      <c r="ER114" s="716"/>
      <c r="ES114" s="716"/>
      <c r="ET114" s="716"/>
      <c r="EU114" s="716"/>
      <c r="EV114" s="716"/>
      <c r="EW114" s="716"/>
      <c r="EX114" s="716"/>
      <c r="EY114" s="716"/>
      <c r="EZ114" s="716"/>
      <c r="FA114" s="716"/>
      <c r="FB114" s="716"/>
      <c r="FC114" s="716"/>
      <c r="FD114" s="716"/>
      <c r="FE114" s="716"/>
      <c r="FF114" s="716"/>
      <c r="FG114" s="716"/>
      <c r="FH114" s="716"/>
      <c r="FI114" s="716"/>
      <c r="FJ114" s="716"/>
      <c r="FK114" s="716"/>
      <c r="FL114" s="716"/>
      <c r="FM114" s="716"/>
      <c r="FN114" s="716"/>
      <c r="FO114" s="716"/>
      <c r="FP114" s="716"/>
      <c r="FQ114" s="716"/>
      <c r="FR114" s="716"/>
      <c r="FS114" s="716"/>
      <c r="FT114" s="716"/>
      <c r="FU114" s="716"/>
      <c r="FV114" s="716"/>
      <c r="FW114" s="716"/>
      <c r="FX114" s="716"/>
      <c r="FY114" s="716"/>
      <c r="FZ114" s="716"/>
      <c r="GA114" s="716"/>
    </row>
    <row r="115" spans="3:183" hidden="1" x14ac:dyDescent="0.25">
      <c r="C115" s="766" t="str">
        <f>C35</f>
        <v>Según Factura</v>
      </c>
      <c r="D115" s="766" t="str">
        <f>C37</f>
        <v>Decreto: Completa</v>
      </c>
      <c r="E115" s="1464"/>
      <c r="I115" s="716"/>
      <c r="AG115" s="716"/>
      <c r="AH115" s="716"/>
      <c r="AI115" s="716"/>
      <c r="AJ115" s="716"/>
      <c r="AK115" s="716"/>
      <c r="AL115" s="716"/>
      <c r="AM115" s="716"/>
      <c r="AN115" s="716"/>
      <c r="AO115" s="716"/>
      <c r="AP115" s="716"/>
      <c r="AQ115" s="716"/>
      <c r="AR115" s="716"/>
      <c r="AS115" s="716"/>
      <c r="AT115" s="716"/>
      <c r="AU115" s="716"/>
      <c r="AV115" s="716"/>
      <c r="AW115" s="716"/>
      <c r="AX115" s="716"/>
      <c r="AY115" s="716"/>
      <c r="AZ115" s="716"/>
      <c r="BA115" s="716"/>
      <c r="BB115" s="716"/>
      <c r="BC115" s="716"/>
      <c r="BD115" s="716"/>
      <c r="BE115" s="716"/>
      <c r="BF115" s="716"/>
      <c r="BG115" s="716"/>
      <c r="BH115" s="716"/>
      <c r="BI115" s="716"/>
      <c r="BJ115" s="716"/>
      <c r="BK115" s="716"/>
      <c r="BL115" s="716"/>
      <c r="BM115" s="716"/>
      <c r="BN115" s="716"/>
      <c r="BO115" s="716"/>
      <c r="BP115" s="716"/>
      <c r="BQ115" s="716"/>
      <c r="BR115" s="716"/>
      <c r="BS115" s="716"/>
      <c r="BT115" s="716"/>
      <c r="BU115" s="716"/>
      <c r="BV115" s="716"/>
      <c r="BW115" s="716"/>
      <c r="BX115" s="716"/>
      <c r="BY115" s="716"/>
      <c r="BZ115" s="716"/>
      <c r="CA115" s="716"/>
      <c r="CB115" s="716"/>
      <c r="CC115" s="716"/>
      <c r="CD115" s="716"/>
      <c r="CE115" s="716"/>
      <c r="CF115" s="716"/>
      <c r="CG115" s="716"/>
      <c r="CH115" s="716"/>
      <c r="CI115" s="716"/>
      <c r="CJ115" s="716"/>
      <c r="CK115" s="716"/>
      <c r="CL115" s="716"/>
      <c r="CM115" s="716"/>
      <c r="CN115" s="716"/>
      <c r="CO115" s="716"/>
      <c r="CP115" s="716"/>
      <c r="CQ115" s="716"/>
      <c r="CR115" s="716"/>
      <c r="CS115" s="716"/>
      <c r="CT115" s="716"/>
      <c r="CU115" s="716"/>
      <c r="CV115" s="716"/>
      <c r="CW115" s="716"/>
      <c r="CX115" s="716"/>
      <c r="CY115" s="716"/>
      <c r="CZ115" s="716"/>
      <c r="DA115" s="716"/>
      <c r="DB115" s="716"/>
      <c r="DC115" s="716"/>
      <c r="DD115" s="716"/>
      <c r="DE115" s="716"/>
      <c r="DF115" s="716"/>
      <c r="DG115" s="716"/>
      <c r="DH115" s="716"/>
      <c r="DI115" s="716"/>
      <c r="DJ115" s="716"/>
      <c r="DK115" s="716"/>
      <c r="DL115" s="716"/>
      <c r="DM115" s="716"/>
      <c r="DN115" s="716"/>
      <c r="DO115" s="716"/>
      <c r="DP115" s="716"/>
      <c r="DQ115" s="716"/>
      <c r="DR115" s="716"/>
      <c r="DS115" s="716"/>
      <c r="DT115" s="716"/>
      <c r="DU115" s="716"/>
      <c r="DV115" s="716"/>
      <c r="DW115" s="716"/>
      <c r="DX115" s="716"/>
      <c r="DY115" s="716"/>
      <c r="DZ115" s="716"/>
      <c r="EA115" s="716"/>
      <c r="EB115" s="716"/>
      <c r="EC115" s="716"/>
      <c r="ED115" s="716"/>
      <c r="EE115" s="716"/>
      <c r="EF115" s="716"/>
      <c r="EG115" s="716"/>
      <c r="EH115" s="716"/>
      <c r="EI115" s="716"/>
      <c r="EJ115" s="716"/>
      <c r="EK115" s="716"/>
      <c r="EL115" s="716"/>
      <c r="EM115" s="716"/>
      <c r="EN115" s="716"/>
      <c r="EO115" s="716"/>
      <c r="EP115" s="716"/>
      <c r="EQ115" s="716"/>
      <c r="ER115" s="716"/>
      <c r="ES115" s="716"/>
      <c r="ET115" s="716"/>
      <c r="EU115" s="716"/>
      <c r="EV115" s="716"/>
      <c r="EW115" s="716"/>
      <c r="EX115" s="716"/>
      <c r="EY115" s="716"/>
      <c r="EZ115" s="716"/>
      <c r="FA115" s="716"/>
      <c r="FB115" s="716"/>
      <c r="FC115" s="716"/>
      <c r="FD115" s="716"/>
      <c r="FE115" s="716"/>
      <c r="FF115" s="716"/>
      <c r="FG115" s="716"/>
      <c r="FH115" s="716"/>
      <c r="FI115" s="716"/>
      <c r="FJ115" s="716"/>
      <c r="FK115" s="716"/>
      <c r="FL115" s="716"/>
      <c r="FM115" s="716"/>
      <c r="FN115" s="716"/>
      <c r="FO115" s="716"/>
      <c r="FP115" s="716"/>
      <c r="FQ115" s="716"/>
      <c r="FR115" s="716"/>
      <c r="FS115" s="716"/>
      <c r="FT115" s="716"/>
      <c r="FU115" s="716"/>
      <c r="FV115" s="716"/>
      <c r="FW115" s="716"/>
      <c r="FX115" s="716"/>
      <c r="FY115" s="716"/>
      <c r="FZ115" s="716"/>
      <c r="GA115" s="716"/>
    </row>
    <row r="116" spans="3:183" hidden="1" x14ac:dyDescent="0.25">
      <c r="C116" s="767" t="str">
        <f>E35</f>
        <v>Nº de días</v>
      </c>
      <c r="D116" s="767">
        <f>E37</f>
        <v>0</v>
      </c>
      <c r="E116" s="1465"/>
      <c r="I116" s="716"/>
      <c r="AG116" s="716"/>
      <c r="AH116" s="716"/>
      <c r="AI116" s="716"/>
      <c r="AJ116" s="716"/>
      <c r="AK116" s="716"/>
      <c r="AL116" s="716"/>
      <c r="AM116" s="716"/>
      <c r="AN116" s="716"/>
      <c r="AO116" s="716"/>
      <c r="AP116" s="716"/>
      <c r="AQ116" s="716"/>
      <c r="AR116" s="716"/>
      <c r="AS116" s="716"/>
      <c r="AT116" s="716"/>
      <c r="AU116" s="716"/>
      <c r="AV116" s="716"/>
      <c r="AW116" s="716"/>
      <c r="AX116" s="716"/>
      <c r="AY116" s="716"/>
      <c r="AZ116" s="716"/>
      <c r="BA116" s="716"/>
      <c r="BB116" s="716"/>
      <c r="BC116" s="716"/>
      <c r="BD116" s="716"/>
      <c r="BE116" s="716"/>
      <c r="BF116" s="716"/>
      <c r="BG116" s="716"/>
      <c r="BH116" s="716"/>
      <c r="BI116" s="716"/>
      <c r="BJ116" s="716"/>
      <c r="BK116" s="716"/>
      <c r="BL116" s="716"/>
      <c r="BM116" s="716"/>
      <c r="BN116" s="716"/>
      <c r="BO116" s="716"/>
      <c r="BP116" s="716"/>
      <c r="BQ116" s="716"/>
      <c r="BR116" s="716"/>
      <c r="BS116" s="716"/>
      <c r="BT116" s="716"/>
      <c r="BU116" s="716"/>
      <c r="BV116" s="716"/>
      <c r="BW116" s="716"/>
      <c r="BX116" s="716"/>
      <c r="BY116" s="716"/>
      <c r="BZ116" s="716"/>
      <c r="CA116" s="716"/>
      <c r="CB116" s="716"/>
      <c r="CC116" s="716"/>
      <c r="CD116" s="716"/>
      <c r="CE116" s="716"/>
      <c r="CF116" s="716"/>
      <c r="CG116" s="716"/>
      <c r="CH116" s="716"/>
      <c r="CI116" s="716"/>
      <c r="CJ116" s="716"/>
      <c r="CK116" s="716"/>
      <c r="CL116" s="716"/>
      <c r="CM116" s="716"/>
      <c r="CN116" s="716"/>
      <c r="CO116" s="716"/>
      <c r="CP116" s="716"/>
      <c r="CQ116" s="716"/>
      <c r="CR116" s="716"/>
      <c r="CS116" s="716"/>
      <c r="CT116" s="716"/>
      <c r="CU116" s="716"/>
      <c r="CV116" s="716"/>
      <c r="CW116" s="716"/>
      <c r="CX116" s="716"/>
      <c r="CY116" s="716"/>
      <c r="CZ116" s="716"/>
      <c r="DA116" s="716"/>
      <c r="DB116" s="716"/>
      <c r="DC116" s="716"/>
      <c r="DD116" s="716"/>
      <c r="DE116" s="716"/>
      <c r="DF116" s="716"/>
      <c r="DG116" s="716"/>
      <c r="DH116" s="716"/>
      <c r="DI116" s="716"/>
      <c r="DJ116" s="716"/>
      <c r="DK116" s="716"/>
      <c r="DL116" s="716"/>
      <c r="DM116" s="716"/>
      <c r="DN116" s="716"/>
      <c r="DO116" s="716"/>
      <c r="DP116" s="716"/>
      <c r="DQ116" s="716"/>
      <c r="DR116" s="716"/>
      <c r="DS116" s="716"/>
      <c r="DT116" s="716"/>
      <c r="DU116" s="716"/>
      <c r="DV116" s="716"/>
      <c r="DW116" s="716"/>
      <c r="DX116" s="716"/>
      <c r="DY116" s="716"/>
      <c r="DZ116" s="716"/>
      <c r="EA116" s="716"/>
      <c r="EB116" s="716"/>
      <c r="EC116" s="716"/>
      <c r="ED116" s="716"/>
      <c r="EE116" s="716"/>
      <c r="EF116" s="716"/>
      <c r="EG116" s="716"/>
      <c r="EH116" s="716"/>
      <c r="EI116" s="716"/>
      <c r="EJ116" s="716"/>
      <c r="EK116" s="716"/>
      <c r="EL116" s="716"/>
      <c r="EM116" s="716"/>
      <c r="EN116" s="716"/>
      <c r="EO116" s="716"/>
      <c r="EP116" s="716"/>
      <c r="EQ116" s="716"/>
      <c r="ER116" s="716"/>
      <c r="ES116" s="716"/>
      <c r="ET116" s="716"/>
      <c r="EU116" s="716"/>
      <c r="EV116" s="716"/>
      <c r="EW116" s="716"/>
      <c r="EX116" s="716"/>
      <c r="EY116" s="716"/>
      <c r="EZ116" s="716"/>
      <c r="FA116" s="716"/>
      <c r="FB116" s="716"/>
      <c r="FC116" s="716"/>
      <c r="FD116" s="716"/>
      <c r="FE116" s="716"/>
      <c r="FF116" s="716"/>
      <c r="FG116" s="716"/>
      <c r="FH116" s="716"/>
      <c r="FI116" s="716"/>
      <c r="FJ116" s="716"/>
      <c r="FK116" s="716"/>
      <c r="FL116" s="716"/>
      <c r="FM116" s="716"/>
      <c r="FN116" s="716"/>
      <c r="FO116" s="716"/>
      <c r="FP116" s="716"/>
      <c r="FQ116" s="716"/>
      <c r="FR116" s="716"/>
      <c r="FS116" s="716"/>
      <c r="FT116" s="716"/>
      <c r="FU116" s="716"/>
      <c r="FV116" s="716"/>
      <c r="FW116" s="716"/>
      <c r="FX116" s="716"/>
      <c r="FY116" s="716"/>
      <c r="FZ116" s="716"/>
      <c r="GA116" s="716"/>
    </row>
    <row r="117" spans="3:183" hidden="1" x14ac:dyDescent="0.25">
      <c r="C117" s="772" t="s">
        <v>590</v>
      </c>
      <c r="D117" s="1455"/>
      <c r="E117" s="1456"/>
      <c r="I117" s="716"/>
      <c r="AG117" s="716"/>
      <c r="AH117" s="716"/>
      <c r="AI117" s="716"/>
      <c r="AJ117" s="716"/>
      <c r="AK117" s="716"/>
      <c r="AL117" s="716"/>
      <c r="AM117" s="716"/>
      <c r="AN117" s="716"/>
      <c r="AO117" s="716"/>
      <c r="AP117" s="716"/>
      <c r="AQ117" s="716"/>
      <c r="AR117" s="716"/>
      <c r="AS117" s="716"/>
      <c r="AT117" s="716"/>
      <c r="AU117" s="716"/>
      <c r="AV117" s="716"/>
      <c r="AW117" s="716"/>
      <c r="AX117" s="716"/>
      <c r="AY117" s="716"/>
      <c r="AZ117" s="716"/>
      <c r="BA117" s="716"/>
      <c r="BB117" s="716"/>
      <c r="BC117" s="716"/>
      <c r="BD117" s="716"/>
      <c r="BE117" s="716"/>
      <c r="BF117" s="716"/>
      <c r="BG117" s="716"/>
      <c r="BH117" s="716"/>
      <c r="BI117" s="716"/>
      <c r="BJ117" s="716"/>
      <c r="BK117" s="716"/>
      <c r="BL117" s="716"/>
      <c r="BM117" s="716"/>
      <c r="BN117" s="716"/>
      <c r="BO117" s="716"/>
      <c r="BP117" s="716"/>
      <c r="BQ117" s="716"/>
      <c r="BR117" s="716"/>
      <c r="BS117" s="716"/>
      <c r="BT117" s="716"/>
      <c r="BU117" s="716"/>
      <c r="BV117" s="716"/>
      <c r="BW117" s="716"/>
      <c r="BX117" s="716"/>
      <c r="BY117" s="716"/>
      <c r="BZ117" s="716"/>
      <c r="CA117" s="716"/>
      <c r="CB117" s="716"/>
      <c r="CC117" s="716"/>
      <c r="CD117" s="716"/>
      <c r="CE117" s="716"/>
      <c r="CF117" s="716"/>
      <c r="CG117" s="716"/>
      <c r="CH117" s="716"/>
      <c r="CI117" s="716"/>
      <c r="CJ117" s="716"/>
      <c r="CK117" s="716"/>
      <c r="CL117" s="716"/>
      <c r="CM117" s="716"/>
      <c r="CN117" s="716"/>
      <c r="CO117" s="716"/>
      <c r="CP117" s="716"/>
      <c r="CQ117" s="716"/>
      <c r="CR117" s="716"/>
      <c r="CS117" s="716"/>
      <c r="CT117" s="716"/>
      <c r="CU117" s="716"/>
      <c r="CV117" s="716"/>
      <c r="CW117" s="716"/>
      <c r="CX117" s="716"/>
      <c r="CY117" s="716"/>
      <c r="CZ117" s="716"/>
      <c r="DA117" s="716"/>
      <c r="DB117" s="716"/>
      <c r="DC117" s="716"/>
      <c r="DD117" s="716"/>
      <c r="DE117" s="716"/>
      <c r="DF117" s="716"/>
      <c r="DG117" s="716"/>
      <c r="DH117" s="716"/>
      <c r="DI117" s="716"/>
      <c r="DJ117" s="716"/>
      <c r="DK117" s="716"/>
      <c r="DL117" s="716"/>
      <c r="DM117" s="716"/>
      <c r="DN117" s="716"/>
      <c r="DO117" s="716"/>
      <c r="DP117" s="716"/>
      <c r="DQ117" s="716"/>
      <c r="DR117" s="716"/>
      <c r="DS117" s="716"/>
      <c r="DT117" s="716"/>
      <c r="DU117" s="716"/>
      <c r="DV117" s="716"/>
      <c r="DW117" s="716"/>
      <c r="DX117" s="716"/>
      <c r="DY117" s="716"/>
      <c r="DZ117" s="716"/>
      <c r="EA117" s="716"/>
      <c r="EB117" s="716"/>
      <c r="EC117" s="716"/>
      <c r="ED117" s="716"/>
      <c r="EE117" s="716"/>
      <c r="EF117" s="716"/>
      <c r="EG117" s="716"/>
      <c r="EH117" s="716"/>
      <c r="EI117" s="716"/>
      <c r="EJ117" s="716"/>
      <c r="EK117" s="716"/>
      <c r="EL117" s="716"/>
      <c r="EM117" s="716"/>
      <c r="EN117" s="716"/>
      <c r="EO117" s="716"/>
      <c r="EP117" s="716"/>
      <c r="EQ117" s="716"/>
      <c r="ER117" s="716"/>
      <c r="ES117" s="716"/>
      <c r="ET117" s="716"/>
      <c r="EU117" s="716"/>
      <c r="EV117" s="716"/>
      <c r="EW117" s="716"/>
      <c r="EX117" s="716"/>
      <c r="EY117" s="716"/>
      <c r="EZ117" s="716"/>
      <c r="FA117" s="716"/>
      <c r="FB117" s="716"/>
      <c r="FC117" s="716"/>
      <c r="FD117" s="716"/>
      <c r="FE117" s="716"/>
      <c r="FF117" s="716"/>
      <c r="FG117" s="716"/>
      <c r="FH117" s="716"/>
      <c r="FI117" s="716"/>
      <c r="FJ117" s="716"/>
      <c r="FK117" s="716"/>
      <c r="FL117" s="716"/>
      <c r="FM117" s="716"/>
      <c r="FN117" s="716"/>
      <c r="FO117" s="716"/>
      <c r="FP117" s="716"/>
      <c r="FQ117" s="716"/>
      <c r="FR117" s="716"/>
      <c r="FS117" s="716"/>
      <c r="FT117" s="716"/>
      <c r="FU117" s="716"/>
      <c r="FV117" s="716"/>
      <c r="FW117" s="716"/>
      <c r="FX117" s="716"/>
      <c r="FY117" s="716"/>
      <c r="FZ117" s="716"/>
      <c r="GA117" s="716"/>
    </row>
    <row r="118" spans="3:183" hidden="1" x14ac:dyDescent="0.25">
      <c r="C118" s="745" t="s">
        <v>593</v>
      </c>
      <c r="D118" s="1457" t="str">
        <f>IF(AND(C115&lt;&gt;C116&lt;C97),"Manutención pernoctando",IF(AND(C115&lt;&gt;D115,C116&gt;=C97),"1/2 Manutención",IF(AND(C115&lt;&gt;C116&gt;E97),"Ninguna manutenciòn",0)))</f>
        <v>1/2 Manutención</v>
      </c>
      <c r="E118" s="1458"/>
      <c r="I118" s="716"/>
      <c r="AG118" s="716"/>
      <c r="AH118" s="716"/>
      <c r="AI118" s="716"/>
      <c r="AJ118" s="716"/>
      <c r="AK118" s="716"/>
      <c r="AL118" s="716"/>
      <c r="AM118" s="716"/>
      <c r="AN118" s="716"/>
      <c r="AO118" s="716"/>
      <c r="AP118" s="716"/>
      <c r="AQ118" s="716"/>
      <c r="AR118" s="716"/>
      <c r="AS118" s="716"/>
      <c r="AT118" s="716"/>
      <c r="AU118" s="716"/>
      <c r="AV118" s="716"/>
      <c r="AW118" s="716"/>
      <c r="AX118" s="716"/>
      <c r="AY118" s="716"/>
      <c r="AZ118" s="716"/>
      <c r="BA118" s="716"/>
      <c r="BB118" s="716"/>
      <c r="BC118" s="716"/>
      <c r="BD118" s="716"/>
      <c r="BE118" s="716"/>
      <c r="BF118" s="716"/>
      <c r="BG118" s="716"/>
      <c r="BH118" s="716"/>
      <c r="BI118" s="716"/>
      <c r="BJ118" s="716"/>
      <c r="BK118" s="716"/>
      <c r="BL118" s="716"/>
      <c r="BM118" s="716"/>
      <c r="BN118" s="716"/>
      <c r="BO118" s="716"/>
      <c r="BP118" s="716"/>
      <c r="BQ118" s="716"/>
      <c r="BR118" s="716"/>
      <c r="BS118" s="716"/>
      <c r="BT118" s="716"/>
      <c r="BU118" s="716"/>
      <c r="BV118" s="716"/>
      <c r="BW118" s="716"/>
      <c r="BX118" s="716"/>
      <c r="BY118" s="716"/>
      <c r="BZ118" s="716"/>
      <c r="CA118" s="716"/>
      <c r="CB118" s="716"/>
      <c r="CC118" s="716"/>
      <c r="CD118" s="716"/>
      <c r="CE118" s="716"/>
      <c r="CF118" s="716"/>
      <c r="CG118" s="716"/>
      <c r="CH118" s="716"/>
      <c r="CI118" s="716"/>
      <c r="CJ118" s="716"/>
      <c r="CK118" s="716"/>
      <c r="CL118" s="716"/>
      <c r="CM118" s="716"/>
      <c r="CN118" s="716"/>
      <c r="CO118" s="716"/>
      <c r="CP118" s="716"/>
      <c r="CQ118" s="716"/>
      <c r="CR118" s="716"/>
      <c r="CS118" s="716"/>
      <c r="CT118" s="716"/>
      <c r="CU118" s="716"/>
      <c r="CV118" s="716"/>
      <c r="CW118" s="716"/>
      <c r="CX118" s="716"/>
      <c r="CY118" s="716"/>
      <c r="CZ118" s="716"/>
      <c r="DA118" s="716"/>
      <c r="DB118" s="716"/>
      <c r="DC118" s="716"/>
      <c r="DD118" s="716"/>
      <c r="DE118" s="716"/>
      <c r="DF118" s="716"/>
      <c r="DG118" s="716"/>
      <c r="DH118" s="716"/>
      <c r="DI118" s="716"/>
      <c r="DJ118" s="716"/>
      <c r="DK118" s="716"/>
      <c r="DL118" s="716"/>
      <c r="DM118" s="716"/>
      <c r="DN118" s="716"/>
      <c r="DO118" s="716"/>
      <c r="DP118" s="716"/>
      <c r="DQ118" s="716"/>
      <c r="DR118" s="716"/>
      <c r="DS118" s="716"/>
      <c r="DT118" s="716"/>
      <c r="DU118" s="716"/>
      <c r="DV118" s="716"/>
      <c r="DW118" s="716"/>
      <c r="DX118" s="716"/>
      <c r="DY118" s="716"/>
      <c r="DZ118" s="716"/>
      <c r="EA118" s="716"/>
      <c r="EB118" s="716"/>
      <c r="EC118" s="716"/>
      <c r="ED118" s="716"/>
      <c r="EE118" s="716"/>
      <c r="EF118" s="716"/>
      <c r="EG118" s="716"/>
      <c r="EH118" s="716"/>
      <c r="EI118" s="716"/>
      <c r="EJ118" s="716"/>
      <c r="EK118" s="716"/>
      <c r="EL118" s="716"/>
      <c r="EM118" s="716"/>
      <c r="EN118" s="716"/>
      <c r="EO118" s="716"/>
      <c r="EP118" s="716"/>
      <c r="EQ118" s="716"/>
      <c r="ER118" s="716"/>
      <c r="ES118" s="716"/>
      <c r="ET118" s="716"/>
      <c r="EU118" s="716"/>
      <c r="EV118" s="716"/>
      <c r="EW118" s="716"/>
      <c r="EX118" s="716"/>
      <c r="EY118" s="716"/>
      <c r="EZ118" s="716"/>
      <c r="FA118" s="716"/>
      <c r="FB118" s="716"/>
      <c r="FC118" s="716"/>
      <c r="FD118" s="716"/>
      <c r="FE118" s="716"/>
      <c r="FF118" s="716"/>
      <c r="FG118" s="716"/>
      <c r="FH118" s="716"/>
      <c r="FI118" s="716"/>
      <c r="FJ118" s="716"/>
      <c r="FK118" s="716"/>
      <c r="FL118" s="716"/>
      <c r="FM118" s="716"/>
      <c r="FN118" s="716"/>
      <c r="FO118" s="716"/>
      <c r="FP118" s="716"/>
      <c r="FQ118" s="716"/>
      <c r="FR118" s="716"/>
      <c r="FS118" s="716"/>
      <c r="FT118" s="716"/>
      <c r="FU118" s="716"/>
      <c r="FV118" s="716"/>
      <c r="FW118" s="716"/>
      <c r="FX118" s="716"/>
      <c r="FY118" s="716"/>
      <c r="FZ118" s="716"/>
      <c r="GA118" s="716"/>
    </row>
    <row r="119" spans="3:183" hidden="1" x14ac:dyDescent="0.25">
      <c r="C119" s="773" t="s">
        <v>158</v>
      </c>
      <c r="D119" s="1459" t="e">
        <f>IF((D115-C115-1&gt;=1),"Manutención pernoctando",0)</f>
        <v>#VALUE!</v>
      </c>
      <c r="E119" s="1458"/>
      <c r="I119" s="716"/>
      <c r="AG119" s="716"/>
      <c r="AH119" s="716"/>
      <c r="AI119" s="716"/>
      <c r="AJ119" s="716"/>
      <c r="AK119" s="716"/>
      <c r="AL119" s="716"/>
      <c r="AM119" s="716"/>
      <c r="AN119" s="716"/>
      <c r="AO119" s="716"/>
      <c r="AP119" s="716"/>
      <c r="AQ119" s="716"/>
      <c r="AR119" s="716"/>
      <c r="AS119" s="716"/>
      <c r="AT119" s="716"/>
      <c r="AU119" s="716"/>
      <c r="AV119" s="716"/>
      <c r="AW119" s="716"/>
      <c r="AX119" s="716"/>
      <c r="AY119" s="716"/>
      <c r="AZ119" s="716"/>
      <c r="BA119" s="716"/>
      <c r="BB119" s="716"/>
      <c r="BC119" s="716"/>
      <c r="BD119" s="716"/>
      <c r="BE119" s="716"/>
      <c r="BF119" s="716"/>
      <c r="BG119" s="716"/>
      <c r="BH119" s="716"/>
      <c r="BI119" s="716"/>
      <c r="BJ119" s="716"/>
      <c r="BK119" s="716"/>
      <c r="BL119" s="716"/>
      <c r="BM119" s="716"/>
      <c r="BN119" s="716"/>
      <c r="BO119" s="716"/>
      <c r="BP119" s="716"/>
      <c r="BQ119" s="716"/>
      <c r="BR119" s="716"/>
      <c r="BS119" s="716"/>
      <c r="BT119" s="716"/>
      <c r="BU119" s="716"/>
      <c r="BV119" s="716"/>
      <c r="BW119" s="716"/>
      <c r="BX119" s="716"/>
      <c r="BY119" s="716"/>
      <c r="BZ119" s="716"/>
      <c r="CA119" s="716"/>
      <c r="CB119" s="716"/>
      <c r="CC119" s="716"/>
      <c r="CD119" s="716"/>
      <c r="CE119" s="716"/>
      <c r="CF119" s="716"/>
      <c r="CG119" s="716"/>
      <c r="CH119" s="716"/>
      <c r="CI119" s="716"/>
      <c r="CJ119" s="716"/>
      <c r="CK119" s="716"/>
      <c r="CL119" s="716"/>
      <c r="CM119" s="716"/>
      <c r="CN119" s="716"/>
      <c r="CO119" s="716"/>
      <c r="CP119" s="716"/>
      <c r="CQ119" s="716"/>
      <c r="CR119" s="716"/>
      <c r="CS119" s="716"/>
      <c r="CT119" s="716"/>
      <c r="CU119" s="716"/>
      <c r="CV119" s="716"/>
      <c r="CW119" s="716"/>
      <c r="CX119" s="716"/>
      <c r="CY119" s="716"/>
      <c r="CZ119" s="716"/>
      <c r="DA119" s="716"/>
      <c r="DB119" s="716"/>
      <c r="DC119" s="716"/>
      <c r="DD119" s="716"/>
      <c r="DE119" s="716"/>
      <c r="DF119" s="716"/>
      <c r="DG119" s="716"/>
      <c r="DH119" s="716"/>
      <c r="DI119" s="716"/>
      <c r="DJ119" s="716"/>
      <c r="DK119" s="716"/>
      <c r="DL119" s="716"/>
      <c r="DM119" s="716"/>
      <c r="DN119" s="716"/>
      <c r="DO119" s="716"/>
      <c r="DP119" s="716"/>
      <c r="DQ119" s="716"/>
      <c r="DR119" s="716"/>
      <c r="DS119" s="716"/>
      <c r="DT119" s="716"/>
      <c r="DU119" s="716"/>
      <c r="DV119" s="716"/>
      <c r="DW119" s="716"/>
      <c r="DX119" s="716"/>
      <c r="DY119" s="716"/>
      <c r="DZ119" s="716"/>
      <c r="EA119" s="716"/>
      <c r="EB119" s="716"/>
      <c r="EC119" s="716"/>
      <c r="ED119" s="716"/>
      <c r="EE119" s="716"/>
      <c r="EF119" s="716"/>
      <c r="EG119" s="716"/>
      <c r="EH119" s="716"/>
      <c r="EI119" s="716"/>
      <c r="EJ119" s="716"/>
      <c r="EK119" s="716"/>
      <c r="EL119" s="716"/>
      <c r="EM119" s="716"/>
      <c r="EN119" s="716"/>
      <c r="EO119" s="716"/>
      <c r="EP119" s="716"/>
      <c r="EQ119" s="716"/>
      <c r="ER119" s="716"/>
      <c r="ES119" s="716"/>
      <c r="ET119" s="716"/>
      <c r="EU119" s="716"/>
      <c r="EV119" s="716"/>
      <c r="EW119" s="716"/>
      <c r="EX119" s="716"/>
      <c r="EY119" s="716"/>
      <c r="EZ119" s="716"/>
      <c r="FA119" s="716"/>
      <c r="FB119" s="716"/>
      <c r="FC119" s="716"/>
      <c r="FD119" s="716"/>
      <c r="FE119" s="716"/>
      <c r="FF119" s="716"/>
      <c r="FG119" s="716"/>
      <c r="FH119" s="716"/>
      <c r="FI119" s="716"/>
      <c r="FJ119" s="716"/>
      <c r="FK119" s="716"/>
      <c r="FL119" s="716"/>
      <c r="FM119" s="716"/>
      <c r="FN119" s="716"/>
      <c r="FO119" s="716"/>
      <c r="FP119" s="716"/>
      <c r="FQ119" s="716"/>
      <c r="FR119" s="716"/>
      <c r="FS119" s="716"/>
      <c r="FT119" s="716"/>
      <c r="FU119" s="716"/>
      <c r="FV119" s="716"/>
      <c r="FW119" s="716"/>
      <c r="FX119" s="716"/>
      <c r="FY119" s="716"/>
      <c r="FZ119" s="716"/>
      <c r="GA119" s="716"/>
    </row>
    <row r="120" spans="3:183" hidden="1" x14ac:dyDescent="0.25">
      <c r="C120" s="745" t="s">
        <v>594</v>
      </c>
      <c r="D120" s="1457" t="str">
        <f>IF(AND(C115&lt;&gt;D115,D116&lt;D97),"Ninguna manutención",IF(AND(C115&lt;&gt;D115,D116&gt;=D97,D116&lt;=E97),"1/2 Manutención",IF(AND(C115&lt;&gt;D115,D116&gt;E97),"Manutención sin pernoctar",0)))</f>
        <v>Ninguna manutención</v>
      </c>
      <c r="E120" s="1458"/>
      <c r="I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6"/>
      <c r="DA120" s="716"/>
      <c r="DB120" s="716"/>
      <c r="DC120" s="716"/>
      <c r="DD120" s="716"/>
      <c r="DE120" s="716"/>
      <c r="DF120" s="716"/>
      <c r="DG120" s="716"/>
      <c r="DH120" s="716"/>
      <c r="DI120" s="716"/>
      <c r="DJ120" s="716"/>
      <c r="DK120" s="716"/>
      <c r="DL120" s="716"/>
      <c r="DM120" s="716"/>
      <c r="DN120" s="716"/>
      <c r="DO120" s="716"/>
      <c r="DP120" s="716"/>
      <c r="DQ120" s="716"/>
      <c r="DR120" s="716"/>
      <c r="DS120" s="716"/>
      <c r="DT120" s="716"/>
      <c r="DU120" s="716"/>
      <c r="DV120" s="716"/>
      <c r="DW120" s="716"/>
      <c r="DX120" s="716"/>
      <c r="DY120" s="716"/>
      <c r="DZ120" s="716"/>
      <c r="EA120" s="716"/>
      <c r="EB120" s="716"/>
      <c r="EC120" s="716"/>
      <c r="ED120" s="716"/>
      <c r="EE120" s="716"/>
      <c r="EF120" s="716"/>
      <c r="EG120" s="716"/>
      <c r="EH120" s="716"/>
      <c r="EI120" s="716"/>
      <c r="EJ120" s="716"/>
      <c r="EK120" s="716"/>
      <c r="EL120" s="716"/>
      <c r="EM120" s="716"/>
      <c r="EN120" s="716"/>
      <c r="EO120" s="716"/>
      <c r="EP120" s="716"/>
      <c r="EQ120" s="716"/>
      <c r="ER120" s="716"/>
      <c r="ES120" s="716"/>
      <c r="ET120" s="716"/>
      <c r="EU120" s="716"/>
      <c r="EV120" s="716"/>
      <c r="EW120" s="716"/>
      <c r="EX120" s="716"/>
      <c r="EY120" s="716"/>
      <c r="EZ120" s="716"/>
      <c r="FA120" s="716"/>
      <c r="FB120" s="716"/>
      <c r="FC120" s="716"/>
      <c r="FD120" s="716"/>
      <c r="FE120" s="716"/>
      <c r="FF120" s="716"/>
      <c r="FG120" s="716"/>
      <c r="FH120" s="716"/>
      <c r="FI120" s="716"/>
      <c r="FJ120" s="716"/>
      <c r="FK120" s="716"/>
      <c r="FL120" s="716"/>
      <c r="FM120" s="716"/>
      <c r="FN120" s="716"/>
      <c r="FO120" s="716"/>
      <c r="FP120" s="716"/>
      <c r="FQ120" s="716"/>
      <c r="FR120" s="716"/>
      <c r="FS120" s="716"/>
      <c r="FT120" s="716"/>
      <c r="FU120" s="716"/>
      <c r="FV120" s="716"/>
      <c r="FW120" s="716"/>
      <c r="FX120" s="716"/>
      <c r="FY120" s="716"/>
      <c r="FZ120" s="716"/>
      <c r="GA120" s="716"/>
    </row>
    <row r="121" spans="3:183" hidden="1" x14ac:dyDescent="0.25">
      <c r="I121" s="716"/>
      <c r="AG121" s="716"/>
      <c r="AH121" s="716"/>
      <c r="AI121" s="716"/>
      <c r="AJ121" s="716"/>
      <c r="AK121" s="716"/>
      <c r="AL121" s="716"/>
      <c r="AM121" s="716"/>
      <c r="AN121" s="716"/>
      <c r="AO121" s="716"/>
      <c r="AP121" s="716"/>
      <c r="AQ121" s="716"/>
      <c r="AR121" s="716"/>
      <c r="AS121" s="716"/>
      <c r="AT121" s="716"/>
      <c r="AU121" s="716"/>
      <c r="AV121" s="716"/>
      <c r="AW121" s="716"/>
      <c r="AX121" s="716"/>
      <c r="AY121" s="716"/>
      <c r="AZ121" s="716"/>
      <c r="BA121" s="716"/>
      <c r="BB121" s="716"/>
      <c r="BC121" s="716"/>
      <c r="BD121" s="716"/>
      <c r="BE121" s="716"/>
      <c r="BF121" s="716"/>
      <c r="BG121" s="716"/>
      <c r="BH121" s="716"/>
      <c r="BI121" s="716"/>
      <c r="BJ121" s="716"/>
      <c r="BK121" s="716"/>
      <c r="BL121" s="716"/>
      <c r="BM121" s="716"/>
      <c r="BN121" s="716"/>
      <c r="BO121" s="716"/>
      <c r="BP121" s="716"/>
      <c r="BQ121" s="716"/>
      <c r="BR121" s="716"/>
      <c r="BS121" s="716"/>
      <c r="BT121" s="716"/>
      <c r="BU121" s="716"/>
      <c r="BV121" s="716"/>
      <c r="BW121" s="716"/>
      <c r="BX121" s="716"/>
      <c r="BY121" s="716"/>
      <c r="BZ121" s="716"/>
      <c r="CA121" s="716"/>
      <c r="CB121" s="716"/>
      <c r="CC121" s="716"/>
      <c r="CD121" s="716"/>
      <c r="CE121" s="716"/>
      <c r="CF121" s="716"/>
      <c r="CG121" s="716"/>
      <c r="CH121" s="716"/>
      <c r="CI121" s="716"/>
      <c r="CJ121" s="716"/>
      <c r="CK121" s="716"/>
      <c r="CL121" s="716"/>
      <c r="CM121" s="716"/>
      <c r="CN121" s="716"/>
      <c r="CO121" s="716"/>
      <c r="CP121" s="716"/>
      <c r="CQ121" s="716"/>
      <c r="CR121" s="716"/>
      <c r="CS121" s="716"/>
      <c r="CT121" s="716"/>
      <c r="CU121" s="716"/>
      <c r="CV121" s="716"/>
      <c r="CW121" s="716"/>
      <c r="CX121" s="716"/>
      <c r="CY121" s="716"/>
      <c r="CZ121" s="716"/>
      <c r="DA121" s="716"/>
      <c r="DB121" s="716"/>
      <c r="DC121" s="716"/>
      <c r="DD121" s="716"/>
      <c r="DE121" s="716"/>
      <c r="DF121" s="716"/>
      <c r="DG121" s="716"/>
      <c r="DH121" s="716"/>
      <c r="DI121" s="716"/>
      <c r="DJ121" s="716"/>
      <c r="DK121" s="716"/>
      <c r="DL121" s="716"/>
      <c r="DM121" s="716"/>
      <c r="DN121" s="716"/>
      <c r="DO121" s="716"/>
      <c r="DP121" s="716"/>
      <c r="DQ121" s="716"/>
      <c r="DR121" s="716"/>
      <c r="DS121" s="716"/>
      <c r="DT121" s="716"/>
      <c r="DU121" s="716"/>
      <c r="DV121" s="716"/>
      <c r="DW121" s="716"/>
      <c r="DX121" s="716"/>
      <c r="DY121" s="716"/>
      <c r="DZ121" s="716"/>
      <c r="EA121" s="716"/>
      <c r="EB121" s="716"/>
      <c r="EC121" s="716"/>
      <c r="ED121" s="716"/>
      <c r="EE121" s="716"/>
      <c r="EF121" s="716"/>
      <c r="EG121" s="716"/>
      <c r="EH121" s="716"/>
      <c r="EI121" s="716"/>
      <c r="EJ121" s="716"/>
      <c r="EK121" s="716"/>
      <c r="EL121" s="716"/>
      <c r="EM121" s="716"/>
      <c r="EN121" s="716"/>
      <c r="EO121" s="716"/>
      <c r="EP121" s="716"/>
      <c r="EQ121" s="716"/>
      <c r="ER121" s="716"/>
      <c r="ES121" s="716"/>
      <c r="ET121" s="716"/>
      <c r="EU121" s="716"/>
      <c r="EV121" s="716"/>
      <c r="EW121" s="716"/>
      <c r="EX121" s="716"/>
      <c r="EY121" s="716"/>
      <c r="EZ121" s="716"/>
      <c r="FA121" s="716"/>
      <c r="FB121" s="716"/>
      <c r="FC121" s="716"/>
      <c r="FD121" s="716"/>
      <c r="FE121" s="716"/>
      <c r="FF121" s="716"/>
      <c r="FG121" s="716"/>
      <c r="FH121" s="716"/>
      <c r="FI121" s="716"/>
      <c r="FJ121" s="716"/>
      <c r="FK121" s="716"/>
      <c r="FL121" s="716"/>
      <c r="FM121" s="716"/>
      <c r="FN121" s="716"/>
      <c r="FO121" s="716"/>
      <c r="FP121" s="716"/>
      <c r="FQ121" s="716"/>
      <c r="FR121" s="716"/>
      <c r="FS121" s="716"/>
      <c r="FT121" s="716"/>
      <c r="FU121" s="716"/>
      <c r="FV121" s="716"/>
      <c r="FW121" s="716"/>
      <c r="FX121" s="716"/>
      <c r="FY121" s="716"/>
      <c r="FZ121" s="716"/>
      <c r="GA121" s="716"/>
    </row>
    <row r="122" spans="3:183" hidden="1" x14ac:dyDescent="0.25">
      <c r="D122" s="718" t="s">
        <v>598</v>
      </c>
      <c r="E122" s="718" t="s">
        <v>599</v>
      </c>
      <c r="I122" s="716"/>
      <c r="AG122" s="716"/>
      <c r="AH122" s="716"/>
      <c r="AI122" s="716"/>
      <c r="AJ122" s="716"/>
      <c r="AK122" s="716"/>
      <c r="AL122" s="716"/>
      <c r="AM122" s="716"/>
      <c r="AN122" s="716"/>
      <c r="AO122" s="716"/>
      <c r="AP122" s="716"/>
      <c r="AQ122" s="716"/>
      <c r="AR122" s="716"/>
      <c r="AS122" s="716"/>
      <c r="AT122" s="716"/>
      <c r="AU122" s="716"/>
      <c r="AV122" s="716"/>
      <c r="AW122" s="716"/>
      <c r="AX122" s="716"/>
      <c r="AY122" s="716"/>
      <c r="AZ122" s="716"/>
      <c r="BA122" s="716"/>
      <c r="BB122" s="716"/>
      <c r="BC122" s="716"/>
      <c r="BD122" s="716"/>
      <c r="BE122" s="716"/>
      <c r="BF122" s="716"/>
      <c r="BG122" s="716"/>
      <c r="BH122" s="716"/>
      <c r="BI122" s="716"/>
      <c r="BJ122" s="716"/>
      <c r="BK122" s="716"/>
      <c r="BL122" s="716"/>
      <c r="BM122" s="716"/>
      <c r="BN122" s="716"/>
      <c r="BO122" s="716"/>
      <c r="BP122" s="716"/>
      <c r="BQ122" s="716"/>
      <c r="BR122" s="716"/>
      <c r="BS122" s="716"/>
      <c r="BT122" s="716"/>
      <c r="BU122" s="716"/>
      <c r="BV122" s="716"/>
      <c r="BW122" s="716"/>
      <c r="BX122" s="716"/>
      <c r="BY122" s="716"/>
      <c r="BZ122" s="716"/>
      <c r="CA122" s="716"/>
      <c r="CB122" s="716"/>
      <c r="CC122" s="716"/>
      <c r="CD122" s="716"/>
      <c r="CE122" s="716"/>
      <c r="CF122" s="716"/>
      <c r="CG122" s="716"/>
      <c r="CH122" s="716"/>
      <c r="CI122" s="716"/>
      <c r="CJ122" s="716"/>
      <c r="CK122" s="716"/>
      <c r="CL122" s="716"/>
      <c r="CM122" s="716"/>
      <c r="CN122" s="716"/>
      <c r="CO122" s="716"/>
      <c r="CP122" s="716"/>
      <c r="CQ122" s="716"/>
      <c r="CR122" s="716"/>
      <c r="CS122" s="716"/>
      <c r="CT122" s="716"/>
      <c r="CU122" s="716"/>
      <c r="CV122" s="716"/>
      <c r="CW122" s="716"/>
      <c r="CX122" s="716"/>
      <c r="CY122" s="716"/>
      <c r="CZ122" s="716"/>
      <c r="DA122" s="716"/>
      <c r="DB122" s="716"/>
      <c r="DC122" s="716"/>
      <c r="DD122" s="716"/>
      <c r="DE122" s="716"/>
      <c r="DF122" s="716"/>
      <c r="DG122" s="716"/>
      <c r="DH122" s="716"/>
      <c r="DI122" s="716"/>
      <c r="DJ122" s="716"/>
      <c r="DK122" s="716"/>
      <c r="DL122" s="716"/>
      <c r="DM122" s="716"/>
      <c r="DN122" s="716"/>
      <c r="DO122" s="716"/>
      <c r="DP122" s="716"/>
      <c r="DQ122" s="716"/>
      <c r="DR122" s="716"/>
      <c r="DS122" s="716"/>
      <c r="DT122" s="716"/>
      <c r="DU122" s="716"/>
      <c r="DV122" s="716"/>
      <c r="DW122" s="716"/>
      <c r="DX122" s="716"/>
      <c r="DY122" s="716"/>
      <c r="DZ122" s="716"/>
      <c r="EA122" s="716"/>
      <c r="EB122" s="716"/>
      <c r="EC122" s="716"/>
      <c r="ED122" s="716"/>
      <c r="EE122" s="716"/>
      <c r="EF122" s="716"/>
      <c r="EG122" s="716"/>
      <c r="EH122" s="716"/>
      <c r="EI122" s="716"/>
      <c r="EJ122" s="716"/>
      <c r="EK122" s="716"/>
      <c r="EL122" s="716"/>
      <c r="EM122" s="716"/>
      <c r="EN122" s="716"/>
      <c r="EO122" s="716"/>
      <c r="EP122" s="716"/>
      <c r="EQ122" s="716"/>
      <c r="ER122" s="716"/>
      <c r="ES122" s="716"/>
      <c r="ET122" s="716"/>
      <c r="EU122" s="716"/>
      <c r="EV122" s="716"/>
      <c r="EW122" s="716"/>
      <c r="EX122" s="716"/>
      <c r="EY122" s="716"/>
      <c r="EZ122" s="716"/>
      <c r="FA122" s="716"/>
      <c r="FB122" s="716"/>
      <c r="FC122" s="716"/>
      <c r="FD122" s="716"/>
      <c r="FE122" s="716"/>
      <c r="FF122" s="716"/>
      <c r="FG122" s="716"/>
      <c r="FH122" s="716"/>
      <c r="FI122" s="716"/>
      <c r="FJ122" s="716"/>
      <c r="FK122" s="716"/>
      <c r="FL122" s="716"/>
      <c r="FM122" s="716"/>
      <c r="FN122" s="716"/>
      <c r="FO122" s="716"/>
      <c r="FP122" s="716"/>
      <c r="FQ122" s="716"/>
      <c r="FR122" s="716"/>
      <c r="FS122" s="716"/>
      <c r="FT122" s="716"/>
      <c r="FU122" s="716"/>
      <c r="FV122" s="716"/>
      <c r="FW122" s="716"/>
      <c r="FX122" s="716"/>
      <c r="FY122" s="716"/>
      <c r="FZ122" s="716"/>
      <c r="GA122" s="716"/>
    </row>
    <row r="123" spans="3:183" hidden="1" x14ac:dyDescent="0.25">
      <c r="D123" s="774">
        <v>36526</v>
      </c>
      <c r="E123" s="775">
        <v>4.1666666666666699E-2</v>
      </c>
      <c r="I123" s="716"/>
      <c r="AG123" s="716"/>
      <c r="AH123" s="716"/>
      <c r="AI123" s="716"/>
      <c r="AJ123" s="716"/>
      <c r="AK123" s="716"/>
      <c r="AL123" s="716"/>
      <c r="AM123" s="716"/>
      <c r="AN123" s="716"/>
      <c r="AO123" s="716"/>
      <c r="AP123" s="716"/>
      <c r="AQ123" s="716"/>
      <c r="AR123" s="716"/>
      <c r="AS123" s="716"/>
      <c r="AT123" s="716"/>
      <c r="AU123" s="716"/>
      <c r="AV123" s="716"/>
      <c r="AW123" s="716"/>
      <c r="AX123" s="716"/>
      <c r="AY123" s="716"/>
      <c r="AZ123" s="716"/>
      <c r="BA123" s="716"/>
      <c r="BB123" s="716"/>
      <c r="BC123" s="716"/>
      <c r="BD123" s="716"/>
      <c r="BE123" s="716"/>
      <c r="BF123" s="716"/>
      <c r="BG123" s="716"/>
      <c r="BH123" s="716"/>
      <c r="BI123" s="716"/>
      <c r="BJ123" s="716"/>
      <c r="BK123" s="716"/>
      <c r="BL123" s="716"/>
      <c r="BM123" s="716"/>
      <c r="BN123" s="716"/>
      <c r="BO123" s="716"/>
      <c r="BP123" s="716"/>
      <c r="BQ123" s="716"/>
      <c r="BR123" s="716"/>
      <c r="BS123" s="716"/>
      <c r="BT123" s="716"/>
      <c r="BU123" s="716"/>
      <c r="BV123" s="716"/>
      <c r="BW123" s="716"/>
      <c r="BX123" s="716"/>
      <c r="BY123" s="716"/>
      <c r="BZ123" s="716"/>
      <c r="CA123" s="716"/>
      <c r="CB123" s="716"/>
      <c r="CC123" s="716"/>
      <c r="CD123" s="716"/>
      <c r="CE123" s="716"/>
      <c r="CF123" s="716"/>
      <c r="CG123" s="716"/>
      <c r="CH123" s="716"/>
      <c r="CI123" s="716"/>
      <c r="CJ123" s="716"/>
      <c r="CK123" s="716"/>
      <c r="CL123" s="716"/>
      <c r="CM123" s="716"/>
      <c r="CN123" s="716"/>
      <c r="CO123" s="716"/>
      <c r="CP123" s="716"/>
      <c r="CQ123" s="716"/>
      <c r="CR123" s="716"/>
      <c r="CS123" s="716"/>
      <c r="CT123" s="716"/>
      <c r="CU123" s="716"/>
      <c r="CV123" s="716"/>
      <c r="CW123" s="716"/>
      <c r="CX123" s="716"/>
      <c r="CY123" s="716"/>
      <c r="CZ123" s="716"/>
      <c r="DA123" s="716"/>
      <c r="DB123" s="716"/>
      <c r="DC123" s="716"/>
      <c r="DD123" s="716"/>
      <c r="DE123" s="716"/>
      <c r="DF123" s="716"/>
      <c r="DG123" s="716"/>
      <c r="DH123" s="716"/>
      <c r="DI123" s="716"/>
      <c r="DJ123" s="716"/>
      <c r="DK123" s="716"/>
      <c r="DL123" s="716"/>
      <c r="DM123" s="716"/>
      <c r="DN123" s="716"/>
      <c r="DO123" s="716"/>
      <c r="DP123" s="716"/>
      <c r="DQ123" s="716"/>
      <c r="DR123" s="716"/>
      <c r="DS123" s="716"/>
      <c r="DT123" s="716"/>
      <c r="DU123" s="716"/>
      <c r="DV123" s="716"/>
      <c r="DW123" s="716"/>
      <c r="DX123" s="716"/>
      <c r="DY123" s="716"/>
      <c r="DZ123" s="716"/>
      <c r="EA123" s="716"/>
      <c r="EB123" s="716"/>
      <c r="EC123" s="716"/>
      <c r="ED123" s="716"/>
      <c r="EE123" s="716"/>
      <c r="EF123" s="716"/>
      <c r="EG123" s="716"/>
      <c r="EH123" s="716"/>
      <c r="EI123" s="716"/>
      <c r="EJ123" s="716"/>
      <c r="EK123" s="716"/>
      <c r="EL123" s="716"/>
      <c r="EM123" s="716"/>
      <c r="EN123" s="716"/>
      <c r="EO123" s="716"/>
      <c r="EP123" s="716"/>
      <c r="EQ123" s="716"/>
      <c r="ER123" s="716"/>
      <c r="ES123" s="716"/>
      <c r="ET123" s="716"/>
      <c r="EU123" s="716"/>
      <c r="EV123" s="716"/>
      <c r="EW123" s="716"/>
      <c r="EX123" s="716"/>
      <c r="EY123" s="716"/>
      <c r="EZ123" s="716"/>
      <c r="FA123" s="716"/>
      <c r="FB123" s="716"/>
      <c r="FC123" s="716"/>
      <c r="FD123" s="716"/>
      <c r="FE123" s="716"/>
      <c r="FF123" s="716"/>
      <c r="FG123" s="716"/>
      <c r="FH123" s="716"/>
      <c r="FI123" s="716"/>
      <c r="FJ123" s="716"/>
      <c r="FK123" s="716"/>
      <c r="FL123" s="716"/>
      <c r="FM123" s="716"/>
      <c r="FN123" s="716"/>
      <c r="FO123" s="716"/>
      <c r="FP123" s="716"/>
      <c r="FQ123" s="716"/>
      <c r="FR123" s="716"/>
      <c r="FS123" s="716"/>
      <c r="FT123" s="716"/>
      <c r="FU123" s="716"/>
      <c r="FV123" s="716"/>
      <c r="FW123" s="716"/>
      <c r="FX123" s="716"/>
      <c r="FY123" s="716"/>
      <c r="FZ123" s="716"/>
      <c r="GA123" s="716"/>
    </row>
    <row r="124" spans="3:183" hidden="1" x14ac:dyDescent="0.25">
      <c r="D124" s="776">
        <v>46381</v>
      </c>
      <c r="E124" s="775">
        <v>1.04097222222222</v>
      </c>
      <c r="I124" s="716"/>
      <c r="AG124" s="716"/>
      <c r="AH124" s="716"/>
      <c r="AI124" s="716"/>
      <c r="AJ124" s="716"/>
      <c r="AK124" s="716"/>
      <c r="AL124" s="716"/>
      <c r="AM124" s="716"/>
      <c r="AN124" s="716"/>
      <c r="AO124" s="716"/>
      <c r="AP124" s="716"/>
      <c r="AQ124" s="716"/>
      <c r="AR124" s="716"/>
      <c r="AS124" s="716"/>
      <c r="AT124" s="716"/>
      <c r="AU124" s="716"/>
      <c r="AV124" s="716"/>
      <c r="AW124" s="716"/>
      <c r="AX124" s="716"/>
      <c r="AY124" s="716"/>
      <c r="AZ124" s="716"/>
      <c r="BA124" s="716"/>
      <c r="BB124" s="716"/>
      <c r="BC124" s="716"/>
      <c r="BD124" s="716"/>
      <c r="BE124" s="716"/>
      <c r="BF124" s="716"/>
      <c r="BG124" s="716"/>
      <c r="BH124" s="716"/>
      <c r="BI124" s="716"/>
      <c r="BJ124" s="716"/>
      <c r="BK124" s="716"/>
      <c r="BL124" s="716"/>
      <c r="BM124" s="716"/>
      <c r="BN124" s="716"/>
      <c r="BO124" s="716"/>
      <c r="BP124" s="716"/>
      <c r="BQ124" s="716"/>
      <c r="BR124" s="716"/>
      <c r="BS124" s="716"/>
      <c r="BT124" s="716"/>
      <c r="BU124" s="716"/>
      <c r="BV124" s="716"/>
      <c r="BW124" s="716"/>
      <c r="BX124" s="716"/>
      <c r="BY124" s="716"/>
      <c r="BZ124" s="716"/>
      <c r="CA124" s="716"/>
      <c r="CB124" s="716"/>
      <c r="CC124" s="716"/>
      <c r="CD124" s="716"/>
      <c r="CE124" s="716"/>
      <c r="CF124" s="716"/>
      <c r="CG124" s="716"/>
      <c r="CH124" s="716"/>
      <c r="CI124" s="716"/>
      <c r="CJ124" s="716"/>
      <c r="CK124" s="716"/>
      <c r="CL124" s="716"/>
      <c r="CM124" s="716"/>
      <c r="CN124" s="716"/>
      <c r="CO124" s="716"/>
      <c r="CP124" s="716"/>
      <c r="CQ124" s="716"/>
      <c r="CR124" s="716"/>
      <c r="CS124" s="716"/>
      <c r="CT124" s="716"/>
      <c r="CU124" s="716"/>
      <c r="CV124" s="716"/>
      <c r="CW124" s="716"/>
      <c r="CX124" s="716"/>
      <c r="CY124" s="716"/>
      <c r="CZ124" s="716"/>
      <c r="DA124" s="716"/>
      <c r="DB124" s="716"/>
      <c r="DC124" s="716"/>
      <c r="DD124" s="716"/>
      <c r="DE124" s="716"/>
      <c r="DF124" s="716"/>
      <c r="DG124" s="716"/>
      <c r="DH124" s="716"/>
      <c r="DI124" s="716"/>
      <c r="DJ124" s="716"/>
      <c r="DK124" s="716"/>
      <c r="DL124" s="716"/>
      <c r="DM124" s="716"/>
      <c r="DN124" s="716"/>
      <c r="DO124" s="716"/>
      <c r="DP124" s="716"/>
      <c r="DQ124" s="716"/>
      <c r="DR124" s="716"/>
      <c r="DS124" s="716"/>
      <c r="DT124" s="716"/>
      <c r="DU124" s="716"/>
      <c r="DV124" s="716"/>
      <c r="DW124" s="716"/>
      <c r="DX124" s="716"/>
      <c r="DY124" s="716"/>
      <c r="DZ124" s="716"/>
      <c r="EA124" s="716"/>
      <c r="EB124" s="716"/>
      <c r="EC124" s="716"/>
      <c r="ED124" s="716"/>
      <c r="EE124" s="716"/>
      <c r="EF124" s="716"/>
      <c r="EG124" s="716"/>
      <c r="EH124" s="716"/>
      <c r="EI124" s="716"/>
      <c r="EJ124" s="716"/>
      <c r="EK124" s="716"/>
      <c r="EL124" s="716"/>
      <c r="EM124" s="716"/>
      <c r="EN124" s="716"/>
      <c r="EO124" s="716"/>
      <c r="EP124" s="716"/>
      <c r="EQ124" s="716"/>
      <c r="ER124" s="716"/>
      <c r="ES124" s="716"/>
      <c r="ET124" s="716"/>
      <c r="EU124" s="716"/>
      <c r="EV124" s="716"/>
      <c r="EW124" s="716"/>
      <c r="EX124" s="716"/>
      <c r="EY124" s="716"/>
      <c r="EZ124" s="716"/>
      <c r="FA124" s="716"/>
      <c r="FB124" s="716"/>
      <c r="FC124" s="716"/>
      <c r="FD124" s="716"/>
      <c r="FE124" s="716"/>
      <c r="FF124" s="716"/>
      <c r="FG124" s="716"/>
      <c r="FH124" s="716"/>
      <c r="FI124" s="716"/>
      <c r="FJ124" s="716"/>
      <c r="FK124" s="716"/>
      <c r="FL124" s="716"/>
      <c r="FM124" s="716"/>
      <c r="FN124" s="716"/>
      <c r="FO124" s="716"/>
      <c r="FP124" s="716"/>
      <c r="FQ124" s="716"/>
      <c r="FR124" s="716"/>
      <c r="FS124" s="716"/>
      <c r="FT124" s="716"/>
      <c r="FU124" s="716"/>
      <c r="FV124" s="716"/>
      <c r="FW124" s="716"/>
      <c r="FX124" s="716"/>
      <c r="FY124" s="716"/>
      <c r="FZ124" s="716"/>
      <c r="GA124" s="716"/>
    </row>
    <row r="125" spans="3:183" hidden="1" x14ac:dyDescent="0.25">
      <c r="D125" s="759"/>
      <c r="I125" s="716"/>
      <c r="AG125" s="716"/>
      <c r="AH125" s="716"/>
      <c r="AI125" s="716"/>
      <c r="AJ125" s="716"/>
      <c r="AK125" s="716"/>
      <c r="AL125" s="716"/>
      <c r="AM125" s="716"/>
      <c r="AN125" s="716"/>
      <c r="AO125" s="716"/>
      <c r="AP125" s="716"/>
      <c r="AQ125" s="716"/>
      <c r="AR125" s="716"/>
      <c r="AS125" s="716"/>
      <c r="AT125" s="716"/>
      <c r="AU125" s="716"/>
      <c r="AV125" s="716"/>
      <c r="AW125" s="716"/>
      <c r="AX125" s="716"/>
      <c r="AY125" s="716"/>
      <c r="AZ125" s="716"/>
      <c r="BA125" s="716"/>
      <c r="BB125" s="716"/>
      <c r="BC125" s="716"/>
      <c r="BD125" s="716"/>
      <c r="BE125" s="716"/>
      <c r="BF125" s="716"/>
      <c r="BG125" s="716"/>
      <c r="BH125" s="716"/>
      <c r="BI125" s="716"/>
      <c r="BJ125" s="716"/>
      <c r="BK125" s="716"/>
      <c r="BL125" s="716"/>
      <c r="BM125" s="716"/>
      <c r="BN125" s="716"/>
      <c r="BO125" s="716"/>
      <c r="BP125" s="716"/>
      <c r="BQ125" s="716"/>
      <c r="BR125" s="716"/>
      <c r="BS125" s="716"/>
      <c r="BT125" s="716"/>
      <c r="BU125" s="716"/>
      <c r="BV125" s="716"/>
      <c r="BW125" s="716"/>
      <c r="BX125" s="716"/>
      <c r="BY125" s="716"/>
      <c r="BZ125" s="716"/>
      <c r="CA125" s="716"/>
      <c r="CB125" s="716"/>
      <c r="CC125" s="716"/>
      <c r="CD125" s="716"/>
      <c r="CE125" s="716"/>
      <c r="CF125" s="716"/>
      <c r="CG125" s="716"/>
      <c r="CH125" s="716"/>
      <c r="CI125" s="716"/>
      <c r="CJ125" s="716"/>
      <c r="CK125" s="716"/>
      <c r="CL125" s="716"/>
      <c r="CM125" s="716"/>
      <c r="CN125" s="716"/>
      <c r="CO125" s="716"/>
      <c r="CP125" s="716"/>
      <c r="CQ125" s="716"/>
      <c r="CR125" s="716"/>
      <c r="CS125" s="716"/>
      <c r="CT125" s="716"/>
      <c r="CU125" s="716"/>
      <c r="CV125" s="716"/>
      <c r="CW125" s="716"/>
      <c r="CX125" s="716"/>
      <c r="CY125" s="716"/>
      <c r="CZ125" s="716"/>
      <c r="DA125" s="716"/>
      <c r="DB125" s="716"/>
      <c r="DC125" s="716"/>
      <c r="DD125" s="716"/>
      <c r="DE125" s="716"/>
      <c r="DF125" s="716"/>
      <c r="DG125" s="716"/>
      <c r="DH125" s="716"/>
      <c r="DI125" s="716"/>
      <c r="DJ125" s="716"/>
      <c r="DK125" s="716"/>
      <c r="DL125" s="716"/>
      <c r="DM125" s="716"/>
      <c r="DN125" s="716"/>
      <c r="DO125" s="716"/>
      <c r="DP125" s="716"/>
      <c r="DQ125" s="716"/>
      <c r="DR125" s="716"/>
      <c r="DS125" s="716"/>
      <c r="DT125" s="716"/>
      <c r="DU125" s="716"/>
      <c r="DV125" s="716"/>
      <c r="DW125" s="716"/>
      <c r="DX125" s="716"/>
      <c r="DY125" s="716"/>
      <c r="DZ125" s="716"/>
      <c r="EA125" s="716"/>
      <c r="EB125" s="716"/>
      <c r="EC125" s="716"/>
      <c r="ED125" s="716"/>
      <c r="EE125" s="716"/>
      <c r="EF125" s="716"/>
      <c r="EG125" s="716"/>
      <c r="EH125" s="716"/>
      <c r="EI125" s="716"/>
      <c r="EJ125" s="716"/>
      <c r="EK125" s="716"/>
      <c r="EL125" s="716"/>
      <c r="EM125" s="716"/>
      <c r="EN125" s="716"/>
      <c r="EO125" s="716"/>
      <c r="EP125" s="716"/>
      <c r="EQ125" s="716"/>
      <c r="ER125" s="716"/>
      <c r="ES125" s="716"/>
      <c r="ET125" s="716"/>
      <c r="EU125" s="716"/>
      <c r="EV125" s="716"/>
      <c r="EW125" s="716"/>
      <c r="EX125" s="716"/>
      <c r="EY125" s="716"/>
      <c r="EZ125" s="716"/>
      <c r="FA125" s="716"/>
      <c r="FB125" s="716"/>
      <c r="FC125" s="716"/>
      <c r="FD125" s="716"/>
      <c r="FE125" s="716"/>
      <c r="FF125" s="716"/>
      <c r="FG125" s="716"/>
      <c r="FH125" s="716"/>
      <c r="FI125" s="716"/>
      <c r="FJ125" s="716"/>
      <c r="FK125" s="716"/>
      <c r="FL125" s="716"/>
      <c r="FM125" s="716"/>
      <c r="FN125" s="716"/>
      <c r="FO125" s="716"/>
      <c r="FP125" s="716"/>
      <c r="FQ125" s="716"/>
      <c r="FR125" s="716"/>
      <c r="FS125" s="716"/>
      <c r="FT125" s="716"/>
      <c r="FU125" s="716"/>
      <c r="FV125" s="716"/>
      <c r="FW125" s="716"/>
      <c r="FX125" s="716"/>
      <c r="FY125" s="716"/>
      <c r="FZ125" s="716"/>
      <c r="GA125" s="716"/>
    </row>
  </sheetData>
  <sheetProtection algorithmName="SHA-512" hashValue="jNsdNBoSurwbP2LoJcJ9b9pdN5OMbyqHJsc3MRgVG2KbzNSTXCx/TXrVjA1nx1/0iSUHtSEbpitFx7tnv6vrcg==" saltValue="X7RqJMdnUEwoLHgx/xRgrg==" spinCount="100000" sheet="1" objects="1" scenarios="1" selectLockedCells="1"/>
  <mergeCells count="80">
    <mergeCell ref="G36:H37"/>
    <mergeCell ref="D107:E107"/>
    <mergeCell ref="F107:G107"/>
    <mergeCell ref="F88:H88"/>
    <mergeCell ref="D90:H90"/>
    <mergeCell ref="C95:G95"/>
    <mergeCell ref="C96:G96"/>
    <mergeCell ref="C103:G103"/>
    <mergeCell ref="D61:H61"/>
    <mergeCell ref="D67:I67"/>
    <mergeCell ref="C69:E69"/>
    <mergeCell ref="E86:F86"/>
    <mergeCell ref="D87:F87"/>
    <mergeCell ref="C59:H59"/>
    <mergeCell ref="D117:E117"/>
    <mergeCell ref="D118:E118"/>
    <mergeCell ref="D119:E119"/>
    <mergeCell ref="D120:E120"/>
    <mergeCell ref="D108:E108"/>
    <mergeCell ref="D109:E109"/>
    <mergeCell ref="D110:E110"/>
    <mergeCell ref="C113:G113"/>
    <mergeCell ref="E114:E116"/>
    <mergeCell ref="F108:G108"/>
    <mergeCell ref="F109:G109"/>
    <mergeCell ref="F110:G110"/>
    <mergeCell ref="G31:H31"/>
    <mergeCell ref="C51:H51"/>
    <mergeCell ref="C35:D35"/>
    <mergeCell ref="C36:D36"/>
    <mergeCell ref="C39:D39"/>
    <mergeCell ref="F41:H41"/>
    <mergeCell ref="C37:D37"/>
    <mergeCell ref="C34:D34"/>
    <mergeCell ref="C43:H43"/>
    <mergeCell ref="B44:I44"/>
    <mergeCell ref="B45:I45"/>
    <mergeCell ref="C50:H50"/>
    <mergeCell ref="I36:I37"/>
    <mergeCell ref="C38:H38"/>
    <mergeCell ref="E34:F34"/>
    <mergeCell ref="G34:H35"/>
    <mergeCell ref="Q24:R24"/>
    <mergeCell ref="H25:H26"/>
    <mergeCell ref="C29:D29"/>
    <mergeCell ref="E29:I29"/>
    <mergeCell ref="J26:M26"/>
    <mergeCell ref="C27:H27"/>
    <mergeCell ref="F2:G2"/>
    <mergeCell ref="C3:H3"/>
    <mergeCell ref="C4:I4"/>
    <mergeCell ref="C7:I7"/>
    <mergeCell ref="C10:I10"/>
    <mergeCell ref="M37:M39"/>
    <mergeCell ref="C11:H11"/>
    <mergeCell ref="C48:D48"/>
    <mergeCell ref="E48:H48"/>
    <mergeCell ref="C12:I12"/>
    <mergeCell ref="C13:I13"/>
    <mergeCell ref="C14:I14"/>
    <mergeCell ref="C15:I15"/>
    <mergeCell ref="C16:F16"/>
    <mergeCell ref="H16:I16"/>
    <mergeCell ref="F32:H32"/>
    <mergeCell ref="C17:I17"/>
    <mergeCell ref="C18:I18"/>
    <mergeCell ref="C19:I19"/>
    <mergeCell ref="G30:H30"/>
    <mergeCell ref="C31:D31"/>
    <mergeCell ref="AN61:AT65"/>
    <mergeCell ref="AN66:AQ67"/>
    <mergeCell ref="AN85:AR86"/>
    <mergeCell ref="AN52:AP53"/>
    <mergeCell ref="AN16:AQ17"/>
    <mergeCell ref="AN18:AQ19"/>
    <mergeCell ref="AN22:AQ23"/>
    <mergeCell ref="AN28:AQ29"/>
    <mergeCell ref="AM36:AS41"/>
    <mergeCell ref="AN56:AS60"/>
    <mergeCell ref="AN25:AS26"/>
  </mergeCells>
  <conditionalFormatting sqref="B17">
    <cfRule type="expression" dxfId="30" priority="30">
      <formula>$B$17="Falta indicar la hora"</formula>
    </cfRule>
  </conditionalFormatting>
  <conditionalFormatting sqref="B18">
    <cfRule type="expression" dxfId="29" priority="29">
      <formula>$B$18="Falta indicar la hora"</formula>
    </cfRule>
  </conditionalFormatting>
  <conditionalFormatting sqref="B19">
    <cfRule type="expression" dxfId="28" priority="28">
      <formula>$B$18="Falta indicar la hora"</formula>
    </cfRule>
  </conditionalFormatting>
  <conditionalFormatting sqref="C7:I8">
    <cfRule type="expression" dxfId="27" priority="27">
      <formula>$C$7&lt;&gt;""</formula>
    </cfRule>
  </conditionalFormatting>
  <conditionalFormatting sqref="C11:H11">
    <cfRule type="expression" dxfId="26" priority="26">
      <formula>$C$11&lt;&gt;""</formula>
    </cfRule>
  </conditionalFormatting>
  <conditionalFormatting sqref="D67:I67">
    <cfRule type="expression" dxfId="25" priority="25">
      <formula>$D$67&lt;&gt;""</formula>
    </cfRule>
  </conditionalFormatting>
  <conditionalFormatting sqref="E30">
    <cfRule type="expression" dxfId="24" priority="24">
      <formula>$D$67="LIQUIDACIÓN NO VÁLIDA, FALTA INDICAR EL Nº DE NOCHES"</formula>
    </cfRule>
  </conditionalFormatting>
  <conditionalFormatting sqref="G30:H30">
    <cfRule type="expression" dxfId="23" priority="23">
      <formula>$D$67="LIQUIDACIÓN NO VÁLIDA, FALTA INDICAR EL NOMBRE DEL PERCEPTOR"</formula>
    </cfRule>
  </conditionalFormatting>
  <conditionalFormatting sqref="E34">
    <cfRule type="expression" dxfId="22" priority="21">
      <formula>$D$67="LIQUIDACIÓN NO VÁLIDA, FALTA INDICAR EL Nº DE DÍAS"</formula>
    </cfRule>
  </conditionalFormatting>
  <conditionalFormatting sqref="G34">
    <cfRule type="expression" dxfId="21" priority="20">
      <formula>$D$67="LIQUIDACIÓN NO VÁLIDA, INDIQUE EL NOMBRE DEL PERCEPTOR"</formula>
    </cfRule>
  </conditionalFormatting>
  <conditionalFormatting sqref="C31:D31">
    <cfRule type="expression" dxfId="20" priority="7">
      <formula>$C$31=R8</formula>
    </cfRule>
    <cfRule type="expression" dxfId="19" priority="16">
      <formula>$C$31=C15</formula>
    </cfRule>
    <cfRule type="expression" dxfId="18" priority="19">
      <formula>$D$67="LIQUIDACIÓN NO VÁLIDA, ELIJA A QUIÉN SE LE ABONA"</formula>
    </cfRule>
  </conditionalFormatting>
  <conditionalFormatting sqref="E29:I29">
    <cfRule type="expression" dxfId="17" priority="18">
      <formula>$E$29&lt;&gt;""</formula>
    </cfRule>
  </conditionalFormatting>
  <conditionalFormatting sqref="C34:D34">
    <cfRule type="expression" dxfId="16" priority="6">
      <formula>$C$34=R8</formula>
    </cfRule>
    <cfRule type="expression" dxfId="15" priority="15">
      <formula>$C$34=$C$15</formula>
    </cfRule>
    <cfRule type="expression" dxfId="14" priority="17">
      <formula>$D$67="LIQUIDACIÓN NO VÁLIDA, ELIJA A QUIÉN SE LE ABONA"</formula>
    </cfRule>
  </conditionalFormatting>
  <conditionalFormatting sqref="B34">
    <cfRule type="expression" dxfId="13" priority="14">
      <formula>$N$35="MANUTENCION"</formula>
    </cfRule>
  </conditionalFormatting>
  <conditionalFormatting sqref="B31">
    <cfRule type="expression" dxfId="12" priority="13">
      <formula>$K$32="aloja"</formula>
    </cfRule>
  </conditionalFormatting>
  <conditionalFormatting sqref="C29:D29">
    <cfRule type="expression" dxfId="11" priority="12">
      <formula>$E$29="Debe elegir primero el Decreto en: Elegir Decreto  ▼"</formula>
    </cfRule>
  </conditionalFormatting>
  <conditionalFormatting sqref="I24">
    <cfRule type="expression" dxfId="10" priority="11">
      <formula>$I$24&gt;0</formula>
    </cfRule>
  </conditionalFormatting>
  <conditionalFormatting sqref="I26">
    <cfRule type="expression" dxfId="9" priority="10">
      <formula>$I$26&gt;0</formula>
    </cfRule>
  </conditionalFormatting>
  <conditionalFormatting sqref="I31">
    <cfRule type="expression" dxfId="8" priority="8">
      <formula>$C$31=R7</formula>
    </cfRule>
    <cfRule type="expression" dxfId="7" priority="9">
      <formula>$C$31=R8</formula>
    </cfRule>
  </conditionalFormatting>
  <conditionalFormatting sqref="I35">
    <cfRule type="expression" dxfId="6" priority="4">
      <formula>$C$34=R7</formula>
    </cfRule>
    <cfRule type="expression" dxfId="5" priority="5">
      <formula>$C$34=R8</formula>
    </cfRule>
  </conditionalFormatting>
  <conditionalFormatting sqref="I36:I37">
    <cfRule type="expression" dxfId="4" priority="1">
      <formula>$I$36="Borre el importe de la factura"</formula>
    </cfRule>
    <cfRule type="expression" dxfId="3" priority="2">
      <formula>$C$38&lt;&gt;""</formula>
    </cfRule>
    <cfRule type="expression" dxfId="2" priority="3">
      <formula>$C$34=R7</formula>
    </cfRule>
  </conditionalFormatting>
  <dataValidations count="5">
    <dataValidation allowBlank="1" showDropDown="1" showInputMessage="1" showErrorMessage="1" sqref="G39" xr:uid="{00000000-0002-0000-0C00-000000000000}"/>
    <dataValidation type="list" allowBlank="1" showInputMessage="1" showErrorMessage="1" sqref="C31:D31" xr:uid="{00000000-0002-0000-0C00-000001000000}">
      <formula1>$R$6:$R$10</formula1>
    </dataValidation>
    <dataValidation type="list" allowBlank="1" showInputMessage="1" showErrorMessage="1" sqref="C29:D29" xr:uid="{00000000-0002-0000-0C00-000002000000}">
      <formula1>$R$2:$R$4</formula1>
    </dataValidation>
    <dataValidation type="list" allowBlank="1" showInputMessage="1" showErrorMessage="1" sqref="C34:D34" xr:uid="{00000000-0002-0000-0C00-000003000000}">
      <formula1>$R$14:$R$16</formula1>
    </dataValidation>
    <dataValidation type="list" allowBlank="1" showInputMessage="1" showErrorMessage="1" sqref="E34:F34" xr:uid="{00000000-0002-0000-0C00-000004000000}">
      <formula1>$L$44:$L$46</formula1>
    </dataValidation>
  </dataValidations>
  <hyperlinks>
    <hyperlink ref="E86" r:id="rId1" xr:uid="{00000000-0004-0000-0C00-000000000000}"/>
    <hyperlink ref="D87" r:id="rId2" xr:uid="{00000000-0004-0000-0C00-000001000000}"/>
    <hyperlink ref="B53" r:id="rId3" xr:uid="{00000000-0004-0000-0C00-000002000000}"/>
    <hyperlink ref="F39" location="IRPF!I4" display="IRPF (que aplica)" xr:uid="{00000000-0004-0000-0C00-000003000000}"/>
    <hyperlink ref="B27" location="GLOBALIA!A1" display="Haga clic para el cálculo de Globalia" xr:uid="{00000000-0004-0000-0C00-000004000000}"/>
    <hyperlink ref="B32" location="GLOBALIA!A1" display="Haga clic para el cálculo de Globalia" xr:uid="{00000000-0004-0000-0C00-000005000000}"/>
    <hyperlink ref="G85" r:id="rId4" xr:uid="{00000000-0004-0000-0C00-000006000000}"/>
    <hyperlink ref="J85" r:id="rId5" xr:uid="{00000000-0004-0000-0C00-000007000000}"/>
  </hyperlinks>
  <printOptions horizontalCentered="1" verticalCentered="1"/>
  <pageMargins left="0" right="0" top="0" bottom="0" header="0" footer="0"/>
  <pageSetup paperSize="9" scale="59" orientation="portrait" blackAndWhite="1" r:id="rId6"/>
  <colBreaks count="1" manualBreakCount="1">
    <brk id="10" max="1048575" man="1"/>
  </colBreaks>
  <drawing r:id="rId7"/>
  <legacy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Q99"/>
  <sheetViews>
    <sheetView showGridLines="0" topLeftCell="A22" workbookViewId="0">
      <selection activeCell="H36" sqref="H36"/>
    </sheetView>
  </sheetViews>
  <sheetFormatPr baseColWidth="10" defaultRowHeight="13.2" x14ac:dyDescent="0.25"/>
  <cols>
    <col min="1" max="1" width="12.44140625" style="831" customWidth="1"/>
    <col min="2" max="6" width="11.5546875" style="831"/>
    <col min="7" max="7" width="12.44140625" style="831" customWidth="1"/>
    <col min="8" max="12" width="11.5546875" style="831"/>
    <col min="13" max="13" width="11.5546875" style="831" hidden="1" customWidth="1"/>
    <col min="14" max="16384" width="11.5546875" style="831"/>
  </cols>
  <sheetData>
    <row r="2" spans="2:12" x14ac:dyDescent="0.25">
      <c r="B2" s="1483" t="s">
        <v>524</v>
      </c>
      <c r="C2" s="1483"/>
      <c r="D2" s="1483"/>
      <c r="E2" s="1483"/>
      <c r="F2" s="1483"/>
      <c r="G2" s="1483"/>
      <c r="H2" s="1483"/>
      <c r="I2" s="1483"/>
      <c r="J2" s="1483"/>
      <c r="K2" s="1483"/>
      <c r="L2" s="1483"/>
    </row>
    <row r="4" spans="2:12" x14ac:dyDescent="0.25">
      <c r="B4" s="830" t="s">
        <v>609</v>
      </c>
    </row>
    <row r="5" spans="2:12" x14ac:dyDescent="0.25">
      <c r="B5" s="830" t="s">
        <v>626</v>
      </c>
    </row>
    <row r="6" spans="2:12" x14ac:dyDescent="0.25">
      <c r="B6" s="833" t="s">
        <v>625</v>
      </c>
    </row>
    <row r="7" spans="2:12" x14ac:dyDescent="0.25">
      <c r="B7" s="830" t="s">
        <v>624</v>
      </c>
    </row>
    <row r="9" spans="2:12" x14ac:dyDescent="0.25">
      <c r="B9" s="834" t="s">
        <v>610</v>
      </c>
    </row>
    <row r="10" spans="2:12" ht="15.6" x14ac:dyDescent="0.3">
      <c r="B10" s="830" t="s">
        <v>632</v>
      </c>
      <c r="H10" s="857">
        <v>0</v>
      </c>
      <c r="I10" s="859" t="s">
        <v>631</v>
      </c>
    </row>
    <row r="11" spans="2:12" x14ac:dyDescent="0.25">
      <c r="B11" s="830" t="s">
        <v>628</v>
      </c>
      <c r="G11" s="1490" t="s">
        <v>611</v>
      </c>
      <c r="H11" s="1491"/>
      <c r="I11" s="1491"/>
    </row>
    <row r="12" spans="2:12" x14ac:dyDescent="0.25">
      <c r="B12" s="830" t="s">
        <v>627</v>
      </c>
    </row>
    <row r="13" spans="2:12" x14ac:dyDescent="0.25">
      <c r="B13" s="830" t="s">
        <v>629</v>
      </c>
    </row>
    <row r="15" spans="2:12" x14ac:dyDescent="0.25">
      <c r="B15" s="1483" t="s">
        <v>525</v>
      </c>
      <c r="C15" s="1483"/>
      <c r="D15" s="1483"/>
      <c r="E15" s="1483"/>
      <c r="F15" s="1483"/>
      <c r="G15" s="1483"/>
      <c r="H15" s="1483"/>
      <c r="I15" s="1483"/>
      <c r="J15" s="1483"/>
      <c r="K15" s="1483"/>
    </row>
    <row r="16" spans="2:12" x14ac:dyDescent="0.25">
      <c r="L16" s="759"/>
    </row>
    <row r="17" spans="1:17" x14ac:dyDescent="0.25">
      <c r="A17" s="835" t="s">
        <v>614</v>
      </c>
      <c r="B17" s="832"/>
      <c r="C17" s="832"/>
      <c r="D17" s="832"/>
      <c r="E17" s="832"/>
      <c r="F17" s="832"/>
      <c r="G17" s="832"/>
      <c r="H17" s="832"/>
      <c r="I17" s="853" t="s">
        <v>620</v>
      </c>
      <c r="J17" s="1484" t="s">
        <v>621</v>
      </c>
      <c r="K17" s="1485"/>
      <c r="L17" s="1485"/>
    </row>
    <row r="18" spans="1:17" x14ac:dyDescent="0.25">
      <c r="A18" s="835" t="s">
        <v>612</v>
      </c>
      <c r="B18" s="432"/>
      <c r="C18" s="432"/>
      <c r="D18" s="432"/>
      <c r="E18" s="432"/>
      <c r="F18" s="432"/>
      <c r="G18" s="432"/>
      <c r="H18" s="432"/>
      <c r="I18" s="837">
        <f>SUM(B19:H19)</f>
        <v>0</v>
      </c>
      <c r="J18" s="1486">
        <f>SUM(I18,I22,I26,I30,F34)</f>
        <v>0</v>
      </c>
      <c r="K18" s="1487"/>
      <c r="L18" s="1488"/>
      <c r="M18" s="27">
        <f>J18</f>
        <v>0</v>
      </c>
      <c r="O18" s="1478" t="s">
        <v>527</v>
      </c>
      <c r="P18" s="1478"/>
      <c r="Q18" s="1478"/>
    </row>
    <row r="19" spans="1:17" hidden="1" x14ac:dyDescent="0.25">
      <c r="A19" s="839" t="s">
        <v>613</v>
      </c>
      <c r="B19" s="742">
        <f>B17*B18+B17</f>
        <v>0</v>
      </c>
      <c r="C19" s="742">
        <f t="shared" ref="C19:H19" si="0">C17*C18+C17</f>
        <v>0</v>
      </c>
      <c r="D19" s="742">
        <f t="shared" si="0"/>
        <v>0</v>
      </c>
      <c r="E19" s="742">
        <f t="shared" si="0"/>
        <v>0</v>
      </c>
      <c r="F19" s="742">
        <f t="shared" si="0"/>
        <v>0</v>
      </c>
      <c r="G19" s="742">
        <f t="shared" si="0"/>
        <v>0</v>
      </c>
      <c r="H19" s="742">
        <f t="shared" si="0"/>
        <v>0</v>
      </c>
      <c r="I19" s="759"/>
      <c r="J19" s="759"/>
      <c r="K19" s="759"/>
      <c r="L19" s="838"/>
    </row>
    <row r="20" spans="1:17" ht="10.050000000000001" customHeight="1" x14ac:dyDescent="0.25">
      <c r="A20" s="839"/>
      <c r="B20" s="715"/>
      <c r="C20" s="714"/>
      <c r="D20" s="714"/>
      <c r="E20" s="714"/>
      <c r="F20" s="714"/>
      <c r="G20" s="714"/>
      <c r="H20" s="840"/>
      <c r="I20" s="759"/>
      <c r="J20" s="1394" t="str">
        <f>IF(J18=J30,"",IF(M18=M30,"","Revise los datos introducidos en la TABLA, EL IMPORTE TOTAL DE LA TABLA debe coincidir con el TOTAL DE LA FACTURA"))</f>
        <v/>
      </c>
      <c r="K20" s="1394"/>
      <c r="L20" s="1395"/>
      <c r="M20" s="480"/>
    </row>
    <row r="21" spans="1:17" x14ac:dyDescent="0.25">
      <c r="A21" s="835" t="s">
        <v>136</v>
      </c>
      <c r="B21" s="832"/>
      <c r="C21" s="832"/>
      <c r="D21" s="832"/>
      <c r="E21" s="832"/>
      <c r="F21" s="832"/>
      <c r="G21" s="832"/>
      <c r="H21" s="832"/>
      <c r="I21" s="854" t="s">
        <v>518</v>
      </c>
      <c r="J21" s="1394"/>
      <c r="K21" s="1394"/>
      <c r="L21" s="1395"/>
      <c r="M21" s="856"/>
      <c r="O21" s="1479" t="s">
        <v>526</v>
      </c>
      <c r="P21" s="1480"/>
      <c r="Q21" s="1480"/>
    </row>
    <row r="22" spans="1:17" x14ac:dyDescent="0.25">
      <c r="A22" s="835" t="s">
        <v>612</v>
      </c>
      <c r="B22" s="432"/>
      <c r="C22" s="432"/>
      <c r="D22" s="432"/>
      <c r="E22" s="432"/>
      <c r="F22" s="432"/>
      <c r="G22" s="432"/>
      <c r="H22" s="432"/>
      <c r="I22" s="855">
        <f>SUM(B23:H23)</f>
        <v>0</v>
      </c>
      <c r="J22" s="1394"/>
      <c r="K22" s="1394"/>
      <c r="L22" s="1395"/>
    </row>
    <row r="23" spans="1:17" ht="13.05" hidden="1" customHeight="1" x14ac:dyDescent="0.25">
      <c r="A23" s="839" t="s">
        <v>613</v>
      </c>
      <c r="B23" s="742">
        <f>B21*B22+B21</f>
        <v>0</v>
      </c>
      <c r="C23" s="742">
        <f t="shared" ref="C23:H23" si="1">C21*C22+C21</f>
        <v>0</v>
      </c>
      <c r="D23" s="742">
        <f t="shared" si="1"/>
        <v>0</v>
      </c>
      <c r="E23" s="742">
        <f t="shared" si="1"/>
        <v>0</v>
      </c>
      <c r="F23" s="742">
        <f t="shared" si="1"/>
        <v>0</v>
      </c>
      <c r="G23" s="742">
        <f t="shared" si="1"/>
        <v>0</v>
      </c>
      <c r="H23" s="742">
        <f t="shared" si="1"/>
        <v>0</v>
      </c>
      <c r="I23" s="759"/>
      <c r="J23" s="1394"/>
      <c r="K23" s="1394"/>
      <c r="L23" s="1395"/>
    </row>
    <row r="24" spans="1:17" ht="10.050000000000001" customHeight="1" x14ac:dyDescent="0.25">
      <c r="A24" s="839"/>
      <c r="B24" s="715"/>
      <c r="C24" s="714"/>
      <c r="D24" s="714"/>
      <c r="E24" s="714"/>
      <c r="F24" s="714"/>
      <c r="G24" s="714"/>
      <c r="H24" s="840"/>
      <c r="I24" s="759"/>
      <c r="J24" s="1394"/>
      <c r="K24" s="1394"/>
      <c r="L24" s="1395"/>
    </row>
    <row r="25" spans="1:17" x14ac:dyDescent="0.25">
      <c r="A25" s="835" t="s">
        <v>615</v>
      </c>
      <c r="B25" s="832"/>
      <c r="C25" s="832"/>
      <c r="D25" s="832"/>
      <c r="E25" s="832"/>
      <c r="F25" s="832"/>
      <c r="G25" s="832"/>
      <c r="H25" s="832"/>
      <c r="I25" s="836" t="s">
        <v>618</v>
      </c>
      <c r="J25" s="1394"/>
      <c r="K25" s="1394"/>
      <c r="L25" s="1395"/>
      <c r="O25" s="1481" t="s">
        <v>606</v>
      </c>
      <c r="P25" s="1481"/>
      <c r="Q25" s="1481"/>
    </row>
    <row r="26" spans="1:17" x14ac:dyDescent="0.25">
      <c r="A26" s="835" t="s">
        <v>378</v>
      </c>
      <c r="B26" s="432"/>
      <c r="C26" s="432"/>
      <c r="D26" s="432"/>
      <c r="E26" s="432"/>
      <c r="F26" s="432"/>
      <c r="G26" s="432"/>
      <c r="H26" s="432"/>
      <c r="I26" s="837">
        <f>SUM(B27:H27)</f>
        <v>0</v>
      </c>
      <c r="J26" s="1394"/>
      <c r="K26" s="1394"/>
      <c r="L26" s="1395"/>
    </row>
    <row r="27" spans="1:17" hidden="1" x14ac:dyDescent="0.25">
      <c r="A27" s="839" t="s">
        <v>517</v>
      </c>
      <c r="B27" s="715">
        <f>B25*B26+B25</f>
        <v>0</v>
      </c>
      <c r="C27" s="714">
        <f t="shared" ref="C27:H27" si="2">C25*C26+C25</f>
        <v>0</v>
      </c>
      <c r="D27" s="714">
        <f t="shared" si="2"/>
        <v>0</v>
      </c>
      <c r="E27" s="714">
        <f t="shared" si="2"/>
        <v>0</v>
      </c>
      <c r="F27" s="714">
        <f t="shared" si="2"/>
        <v>0</v>
      </c>
      <c r="G27" s="714">
        <f t="shared" si="2"/>
        <v>0</v>
      </c>
      <c r="H27" s="840">
        <f t="shared" si="2"/>
        <v>0</v>
      </c>
      <c r="I27" s="759"/>
      <c r="J27" s="759"/>
      <c r="K27" s="759"/>
      <c r="L27" s="838"/>
    </row>
    <row r="28" spans="1:17" ht="10.050000000000001" customHeight="1" x14ac:dyDescent="0.25">
      <c r="A28" s="839"/>
      <c r="B28" s="841"/>
      <c r="C28" s="842"/>
      <c r="D28" s="842"/>
      <c r="E28" s="842"/>
      <c r="F28" s="842"/>
      <c r="G28" s="842"/>
      <c r="H28" s="843"/>
      <c r="I28" s="759"/>
      <c r="J28" s="1496" t="str">
        <f>IF(H10&gt;0,"TOTAL A EJECUTAR","INSERTE EL IMPORTE TOTAL DE LA FACTURA DE GLOBALIA")</f>
        <v>INSERTE EL IMPORTE TOTAL DE LA FACTURA DE GLOBALIA</v>
      </c>
      <c r="K28" s="1496"/>
      <c r="L28" s="1497"/>
    </row>
    <row r="29" spans="1:17" x14ac:dyDescent="0.25">
      <c r="A29" s="835" t="s">
        <v>138</v>
      </c>
      <c r="B29" s="832"/>
      <c r="C29" s="832"/>
      <c r="D29" s="832"/>
      <c r="E29" s="832"/>
      <c r="F29" s="832"/>
      <c r="G29" s="832"/>
      <c r="H29" s="832"/>
      <c r="I29" s="854" t="s">
        <v>619</v>
      </c>
      <c r="J29" s="1496"/>
      <c r="K29" s="1496"/>
      <c r="L29" s="1497"/>
    </row>
    <row r="30" spans="1:17" x14ac:dyDescent="0.25">
      <c r="A30" s="835" t="s">
        <v>612</v>
      </c>
      <c r="B30" s="432"/>
      <c r="C30" s="432"/>
      <c r="D30" s="432"/>
      <c r="E30" s="432"/>
      <c r="F30" s="432"/>
      <c r="G30" s="432"/>
      <c r="H30" s="432"/>
      <c r="I30" s="855">
        <f>SUM(B31:H31)</f>
        <v>0</v>
      </c>
      <c r="J30" s="1498">
        <f>IF(H10=0,0,H10)</f>
        <v>0</v>
      </c>
      <c r="K30" s="1499"/>
      <c r="L30" s="1500"/>
      <c r="M30" s="27">
        <f>IF(J30="","",J30+0.01)</f>
        <v>0.01</v>
      </c>
    </row>
    <row r="31" spans="1:17" hidden="1" x14ac:dyDescent="0.25">
      <c r="A31" s="839" t="s">
        <v>613</v>
      </c>
      <c r="B31" s="715">
        <f>B29*B30+B29</f>
        <v>0</v>
      </c>
      <c r="C31" s="714">
        <f t="shared" ref="C31:H31" si="3">C29*C30+C29</f>
        <v>0</v>
      </c>
      <c r="D31" s="714">
        <f t="shared" si="3"/>
        <v>0</v>
      </c>
      <c r="E31" s="714">
        <f t="shared" si="3"/>
        <v>0</v>
      </c>
      <c r="F31" s="714">
        <f t="shared" si="3"/>
        <v>0</v>
      </c>
      <c r="G31" s="714">
        <f t="shared" si="3"/>
        <v>0</v>
      </c>
      <c r="H31" s="840">
        <f t="shared" si="3"/>
        <v>0</v>
      </c>
      <c r="I31" s="759"/>
      <c r="J31" s="844"/>
      <c r="K31" s="845"/>
      <c r="L31" s="846"/>
    </row>
    <row r="32" spans="1:17" ht="10.050000000000001" customHeight="1" x14ac:dyDescent="0.25">
      <c r="A32" s="839"/>
      <c r="B32" s="715"/>
      <c r="C32" s="714"/>
      <c r="D32" s="714"/>
      <c r="E32" s="714"/>
      <c r="F32" s="714"/>
      <c r="G32" s="714"/>
      <c r="H32" s="840"/>
      <c r="I32" s="759"/>
      <c r="J32" s="847"/>
      <c r="K32" s="847"/>
      <c r="L32" s="847"/>
    </row>
    <row r="33" spans="1:12" x14ac:dyDescent="0.25">
      <c r="A33" s="835" t="s">
        <v>188</v>
      </c>
      <c r="B33" s="848" t="s">
        <v>616</v>
      </c>
      <c r="C33" s="849" t="s">
        <v>378</v>
      </c>
      <c r="D33" s="849" t="s">
        <v>517</v>
      </c>
      <c r="E33" s="850" t="s">
        <v>519</v>
      </c>
      <c r="F33" s="1492" t="s">
        <v>617</v>
      </c>
      <c r="G33" s="1492"/>
      <c r="H33" s="838"/>
      <c r="I33" s="759"/>
      <c r="J33" s="1495"/>
      <c r="K33" s="1495"/>
      <c r="L33" s="1495"/>
    </row>
    <row r="34" spans="1:12" x14ac:dyDescent="0.25">
      <c r="B34" s="832"/>
      <c r="C34" s="432"/>
      <c r="D34" s="851">
        <f>B34*C34+B34</f>
        <v>0</v>
      </c>
      <c r="E34" s="832"/>
      <c r="F34" s="1493">
        <f>B34*C34+B34-E34</f>
        <v>0</v>
      </c>
      <c r="G34" s="1494"/>
      <c r="H34" s="852"/>
      <c r="I34" s="759"/>
      <c r="J34" s="759"/>
      <c r="K34" s="759"/>
      <c r="L34" s="759"/>
    </row>
    <row r="35" spans="1:12" x14ac:dyDescent="0.25">
      <c r="I35" s="759"/>
      <c r="J35" s="759"/>
      <c r="K35" s="759"/>
      <c r="L35" s="759"/>
    </row>
    <row r="49" spans="3:7" x14ac:dyDescent="0.25">
      <c r="C49" s="1482" t="s">
        <v>622</v>
      </c>
      <c r="D49" s="1482"/>
      <c r="E49" s="1482"/>
      <c r="F49" s="1482"/>
      <c r="G49" s="1482"/>
    </row>
    <row r="71" spans="2:6" x14ac:dyDescent="0.25">
      <c r="B71" s="1489" t="s">
        <v>622</v>
      </c>
      <c r="C71" s="1489"/>
      <c r="D71" s="1489"/>
      <c r="E71" s="1489"/>
      <c r="F71" s="1489"/>
    </row>
    <row r="96" spans="2:6" x14ac:dyDescent="0.25">
      <c r="B96" s="1019"/>
      <c r="C96" s="937"/>
      <c r="D96" s="937"/>
      <c r="E96" s="937"/>
      <c r="F96" s="937"/>
    </row>
    <row r="99" spans="2:5" x14ac:dyDescent="0.25">
      <c r="B99" s="1477" t="s">
        <v>623</v>
      </c>
      <c r="C99" s="1477"/>
      <c r="D99" s="1477"/>
      <c r="E99" s="1477"/>
    </row>
  </sheetData>
  <sheetProtection selectLockedCells="1"/>
  <mergeCells count="18">
    <mergeCell ref="B2:L2"/>
    <mergeCell ref="B15:K15"/>
    <mergeCell ref="J17:L17"/>
    <mergeCell ref="J18:L18"/>
    <mergeCell ref="B71:F71"/>
    <mergeCell ref="G11:I11"/>
    <mergeCell ref="F33:G33"/>
    <mergeCell ref="F34:G34"/>
    <mergeCell ref="J33:L33"/>
    <mergeCell ref="J28:L29"/>
    <mergeCell ref="J30:L30"/>
    <mergeCell ref="J20:L26"/>
    <mergeCell ref="B96:F96"/>
    <mergeCell ref="B99:E99"/>
    <mergeCell ref="O18:Q18"/>
    <mergeCell ref="O21:Q21"/>
    <mergeCell ref="O25:Q25"/>
    <mergeCell ref="C49:G49"/>
  </mergeCells>
  <conditionalFormatting sqref="J20:L26">
    <cfRule type="expression" dxfId="1" priority="2">
      <formula>$J$20&lt;&gt;""</formula>
    </cfRule>
  </conditionalFormatting>
  <conditionalFormatting sqref="J18:L18">
    <cfRule type="expression" dxfId="0" priority="1">
      <formula>$J$20&lt;&gt;""</formula>
    </cfRule>
  </conditionalFormatting>
  <hyperlinks>
    <hyperlink ref="G11:I11" location="GLOBALIA!B71" display="Haga clic para ver el ejemplo" xr:uid="{00000000-0004-0000-0D00-000000000000}"/>
    <hyperlink ref="B71:F71" location="GLOBALIA!B99" display="Haga clic para ver la factura de GLOBALIA de este ejemplo" xr:uid="{00000000-0004-0000-0D00-000001000000}"/>
    <hyperlink ref="O18:Q18" location="'NACIONAL Y UN PAÍS  EXTRANJERO'!A1" display="Volver a &quot;Nacional y un País Extranjero&quot;" xr:uid="{00000000-0004-0000-0D00-000002000000}"/>
    <hyperlink ref="O21:Q21" location="'VARIOS PAÍSES EXTRANJERO'!A1" display="Volver a &quot;Varios Países Extranjeros&quot;" xr:uid="{00000000-0004-0000-0D00-000003000000}"/>
    <hyperlink ref="O25:Q25" location="CONFERENCIANTES!A1" display="Volver a &quot;Conferenciantes&quot;" xr:uid="{00000000-0004-0000-0D00-000004000000}"/>
    <hyperlink ref="C49:G49" location="GLOBALIA!B99" display="Haga clic para ver la factura de GLOBALIA de este ejemplo" xr:uid="{00000000-0004-0000-0D00-000005000000}"/>
  </hyperlinks>
  <pageMargins left="0" right="0" top="0" bottom="0" header="0" footer="0"/>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3:M21"/>
  <sheetViews>
    <sheetView showGridLines="0" topLeftCell="A3" workbookViewId="0">
      <selection activeCell="I6" sqref="I6:L6"/>
    </sheetView>
  </sheetViews>
  <sheetFormatPr baseColWidth="10" defaultRowHeight="13.2" x14ac:dyDescent="0.25"/>
  <sheetData>
    <row r="3" spans="3:13" ht="13.8" thickBot="1" x14ac:dyDescent="0.3"/>
    <row r="4" spans="3:13" ht="14.4" thickTop="1" thickBot="1" x14ac:dyDescent="0.3">
      <c r="C4" s="1504" t="s">
        <v>667</v>
      </c>
      <c r="D4" s="1505"/>
      <c r="E4" s="1505"/>
      <c r="F4" s="1505"/>
      <c r="G4" s="1506"/>
      <c r="I4" s="1501" t="s">
        <v>680</v>
      </c>
      <c r="J4" s="1502"/>
      <c r="K4" s="1502"/>
      <c r="L4" s="1502"/>
      <c r="M4" s="1503"/>
    </row>
    <row r="5" spans="3:13" ht="14.4" thickTop="1" thickBot="1" x14ac:dyDescent="0.3">
      <c r="C5" s="1507" t="s">
        <v>668</v>
      </c>
      <c r="D5" s="1508"/>
      <c r="E5" s="1508"/>
      <c r="F5" s="1508"/>
      <c r="G5" s="1509"/>
    </row>
    <row r="6" spans="3:13" ht="14.4" thickTop="1" thickBot="1" x14ac:dyDescent="0.3">
      <c r="C6" s="880" t="s">
        <v>669</v>
      </c>
      <c r="D6" s="1510" t="s">
        <v>670</v>
      </c>
      <c r="E6" s="1511"/>
      <c r="F6" s="1511"/>
      <c r="G6" s="1512"/>
      <c r="I6" s="1516" t="s">
        <v>683</v>
      </c>
      <c r="J6" s="1517"/>
      <c r="K6" s="1517"/>
      <c r="L6" s="1518"/>
    </row>
    <row r="7" spans="3:13" ht="13.8" thickTop="1" x14ac:dyDescent="0.25">
      <c r="C7" s="881"/>
      <c r="D7" s="116"/>
      <c r="E7" s="116"/>
      <c r="F7" s="116"/>
      <c r="G7" s="583"/>
      <c r="I7" s="892"/>
    </row>
    <row r="8" spans="3:13" x14ac:dyDescent="0.25">
      <c r="C8" s="1513" t="s">
        <v>671</v>
      </c>
      <c r="D8" s="1514"/>
      <c r="E8" s="1514"/>
      <c r="F8" s="1514"/>
      <c r="G8" s="1515"/>
    </row>
    <row r="9" spans="3:13" x14ac:dyDescent="0.25">
      <c r="C9" s="881"/>
      <c r="D9" s="116"/>
      <c r="E9" s="116"/>
      <c r="F9" s="116"/>
      <c r="G9" s="882"/>
      <c r="I9" s="889"/>
    </row>
    <row r="10" spans="3:13" x14ac:dyDescent="0.25">
      <c r="C10" s="1531">
        <v>0</v>
      </c>
      <c r="D10" s="1534" t="s">
        <v>672</v>
      </c>
      <c r="E10" s="1535"/>
      <c r="F10" s="1535"/>
      <c r="G10" s="1536"/>
    </row>
    <row r="11" spans="3:13" x14ac:dyDescent="0.25">
      <c r="C11" s="1532"/>
      <c r="D11" s="1537" t="s">
        <v>673</v>
      </c>
      <c r="E11" s="1538"/>
      <c r="F11" s="1538"/>
      <c r="G11" s="1539"/>
      <c r="I11" s="891"/>
      <c r="J11" s="810"/>
    </row>
    <row r="12" spans="3:13" x14ac:dyDescent="0.25">
      <c r="C12" s="1532"/>
      <c r="D12" s="1537" t="s">
        <v>674</v>
      </c>
      <c r="E12" s="1538"/>
      <c r="F12" s="1538"/>
      <c r="G12" s="1539"/>
    </row>
    <row r="13" spans="3:13" x14ac:dyDescent="0.25">
      <c r="C13" s="1533"/>
      <c r="D13" s="883" t="s">
        <v>675</v>
      </c>
      <c r="E13" s="884"/>
      <c r="F13" s="884"/>
      <c r="G13" s="885"/>
      <c r="I13" s="889"/>
    </row>
    <row r="14" spans="3:13" x14ac:dyDescent="0.25">
      <c r="C14" s="881"/>
      <c r="D14" s="1540"/>
      <c r="E14" s="1541"/>
      <c r="F14" s="1541"/>
      <c r="G14" s="583"/>
    </row>
    <row r="15" spans="3:13" x14ac:dyDescent="0.25">
      <c r="C15" s="1542"/>
      <c r="D15" s="1544" t="s">
        <v>676</v>
      </c>
      <c r="E15" s="1545"/>
      <c r="F15" s="1545"/>
      <c r="G15" s="1546"/>
    </row>
    <row r="16" spans="3:13" x14ac:dyDescent="0.25">
      <c r="C16" s="1543"/>
      <c r="D16" s="1519" t="s">
        <v>677</v>
      </c>
      <c r="E16" s="1547"/>
      <c r="F16" s="1547"/>
      <c r="G16" s="1548"/>
    </row>
    <row r="17" spans="3:7" x14ac:dyDescent="0.25">
      <c r="C17" s="1543"/>
      <c r="D17" s="1519" t="s">
        <v>678</v>
      </c>
      <c r="E17" s="1520"/>
      <c r="F17" s="1520"/>
      <c r="G17" s="1521"/>
    </row>
    <row r="18" spans="3:7" x14ac:dyDescent="0.25">
      <c r="C18" s="1543"/>
      <c r="D18" s="1522"/>
      <c r="E18" s="1523"/>
      <c r="F18" s="1523"/>
      <c r="G18" s="1524"/>
    </row>
    <row r="19" spans="3:7" x14ac:dyDescent="0.25">
      <c r="C19" s="1525"/>
      <c r="D19" s="1526"/>
      <c r="E19" s="1526"/>
      <c r="F19" s="1526"/>
      <c r="G19" s="1527"/>
    </row>
    <row r="20" spans="3:7" x14ac:dyDescent="0.25">
      <c r="C20" s="886">
        <v>0.24</v>
      </c>
      <c r="D20" s="1528" t="s">
        <v>679</v>
      </c>
      <c r="E20" s="1529"/>
      <c r="F20" s="1529"/>
      <c r="G20" s="1530"/>
    </row>
    <row r="21" spans="3:7" x14ac:dyDescent="0.25">
      <c r="C21" s="880"/>
      <c r="D21" s="887"/>
      <c r="E21" s="888"/>
      <c r="F21" s="888"/>
      <c r="G21" s="882"/>
    </row>
  </sheetData>
  <sheetProtection password="A7D8" sheet="1" objects="1" scenarios="1" selectLockedCells="1"/>
  <mergeCells count="18">
    <mergeCell ref="D17:G17"/>
    <mergeCell ref="D18:G18"/>
    <mergeCell ref="C19:G19"/>
    <mergeCell ref="D20:G20"/>
    <mergeCell ref="C10:C13"/>
    <mergeCell ref="D10:G10"/>
    <mergeCell ref="D11:G11"/>
    <mergeCell ref="D12:G12"/>
    <mergeCell ref="D14:F14"/>
    <mergeCell ref="C15:C18"/>
    <mergeCell ref="D15:G15"/>
    <mergeCell ref="D16:G16"/>
    <mergeCell ref="I4:M4"/>
    <mergeCell ref="C4:G4"/>
    <mergeCell ref="C5:G5"/>
    <mergeCell ref="D6:G6"/>
    <mergeCell ref="C8:G8"/>
    <mergeCell ref="I6:L6"/>
  </mergeCells>
  <hyperlinks>
    <hyperlink ref="C5:G5" r:id="rId1" display="Ley 26/2014 de 27 de noviembre" xr:uid="{00000000-0004-0000-0E00-000000000000}"/>
    <hyperlink ref="I4" r:id="rId2" display="CONSULTA CON LA AGENCIA TRIBUTARIA" xr:uid="{00000000-0004-0000-0E00-000001000000}"/>
    <hyperlink ref="I4:L4" r:id="rId3" display="CONVENIO DE DOBLE IMPOSICIÓN FIRMADO CON ESPAÑA" xr:uid="{00000000-0004-0000-0E00-000002000000}"/>
    <hyperlink ref="I6:L6" r:id="rId4" display="Trabajo realizado en España por un no residente" xr:uid="{00000000-0004-0000-0E00-000003000000}"/>
  </hyperlinks>
  <pageMargins left="0.7" right="0.7" top="0.75" bottom="0.75" header="0.3" footer="0.3"/>
  <pageSetup paperSize="9" orientation="portrait" verticalDpi="0"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indexed="10"/>
  </sheetPr>
  <dimension ref="A1:GA178"/>
  <sheetViews>
    <sheetView showGridLines="0" zoomScaleNormal="100" zoomScalePageLayoutView="89" workbookViewId="0">
      <selection activeCell="B10" sqref="B10"/>
    </sheetView>
  </sheetViews>
  <sheetFormatPr baseColWidth="10" defaultColWidth="11.44140625" defaultRowHeight="13.2" x14ac:dyDescent="0.25"/>
  <cols>
    <col min="1" max="1" width="0.88671875" style="7" customWidth="1"/>
    <col min="2" max="2" width="38.88671875" style="7" customWidth="1"/>
    <col min="3" max="3" width="13.33203125" style="7" customWidth="1"/>
    <col min="4" max="4" width="11.88671875" style="7" customWidth="1"/>
    <col min="5" max="5" width="13.109375" style="7" customWidth="1"/>
    <col min="6" max="6" width="16.5546875" style="7" customWidth="1"/>
    <col min="7" max="7" width="17.88671875" style="7" customWidth="1"/>
    <col min="8" max="8" width="23.33203125" style="7" customWidth="1"/>
    <col min="9" max="9" width="15.44140625" style="260" customWidth="1"/>
    <col min="10" max="10" width="6.109375" style="275" customWidth="1"/>
    <col min="11" max="11" width="11.44140625" style="276" hidden="1" customWidth="1"/>
    <col min="12" max="12" width="14" style="276" hidden="1" customWidth="1"/>
    <col min="13" max="20" width="11.44140625" style="276" hidden="1" customWidth="1"/>
    <col min="21" max="21" width="11.44140625" style="243" hidden="1" customWidth="1"/>
    <col min="22" max="22" width="29.33203125" style="276" hidden="1" customWidth="1"/>
    <col min="23" max="23" width="10.33203125" style="269" hidden="1" customWidth="1"/>
    <col min="24" max="24" width="8.33203125" style="269" hidden="1" customWidth="1"/>
    <col min="25" max="25" width="5.109375" style="269" hidden="1" customWidth="1"/>
    <col min="26" max="26" width="9.6640625" style="269" hidden="1" customWidth="1"/>
    <col min="27" max="32" width="11.44140625" style="269" hidden="1" customWidth="1"/>
    <col min="33" max="33" width="12.33203125" style="269" hidden="1" customWidth="1"/>
    <col min="34" max="36" width="11.44140625" style="269" hidden="1" customWidth="1"/>
    <col min="37" max="38" width="11.44140625" style="242" hidden="1" customWidth="1"/>
    <col min="39" max="39" width="12.88671875" style="242" hidden="1" customWidth="1"/>
    <col min="40" max="43" width="11.44140625" style="242" hidden="1" customWidth="1"/>
    <col min="44" max="46" width="11.44140625" style="262" hidden="1" customWidth="1"/>
    <col min="47" max="48" width="11.44140625" style="22" hidden="1" customWidth="1"/>
    <col min="49" max="95" width="11.44140625" style="22" customWidth="1"/>
    <col min="96" max="96" width="42.109375" style="19" customWidth="1"/>
    <col min="97" max="97" width="13.33203125" style="19" customWidth="1"/>
    <col min="98" max="98" width="11.88671875" style="19" customWidth="1"/>
    <col min="99" max="99" width="13.109375" style="19" customWidth="1"/>
    <col min="100" max="100" width="16.5546875" style="19" customWidth="1"/>
    <col min="101" max="101" width="17.88671875" style="19" customWidth="1"/>
    <col min="102" max="102" width="23.33203125" style="19" customWidth="1"/>
    <col min="103" max="103" width="15.44140625" style="260" customWidth="1"/>
    <col min="104" max="183" width="11.44140625" style="22"/>
    <col min="184" max="16384" width="11.44140625" style="7"/>
  </cols>
  <sheetData>
    <row r="1" spans="1:183" x14ac:dyDescent="0.25">
      <c r="C1" s="274" t="str">
        <f>IF(E76&lt;&gt;"","",IF(B83&lt;&gt;"","",IF(D1="LIQUIDACIÓN NO CUMPLIMENTADA","","Nº")))</f>
        <v/>
      </c>
      <c r="D1" s="291" t="str">
        <f>IF(D75&lt;&gt;"","LIQUIDACIÓN NO CUMPLIMENTADA CORRECTAMENTE",IF(E76=D12,"","LIQUIDACIÓN NO CUMPLIMENTADA CORRECTAMENTE"))</f>
        <v>LIQUIDACIÓN NO CUMPLIMENTADA CORRECTAMENTE</v>
      </c>
      <c r="E1" s="291"/>
      <c r="F1" s="17"/>
      <c r="G1" s="17"/>
      <c r="H1" s="17"/>
      <c r="K1" s="276" t="s">
        <v>154</v>
      </c>
      <c r="M1" s="1058" t="s">
        <v>125</v>
      </c>
      <c r="N1" s="1058"/>
      <c r="O1" s="1058"/>
      <c r="P1" s="1058" t="s">
        <v>121</v>
      </c>
      <c r="Q1" s="1058"/>
      <c r="R1" s="1058"/>
      <c r="S1" s="1058"/>
      <c r="T1" s="1058"/>
      <c r="U1" s="243" t="s">
        <v>340</v>
      </c>
      <c r="CS1" s="274"/>
      <c r="CT1" s="291" t="str">
        <f>IF(E76&lt;&gt;"","",IF(OR(D75,B83&lt;&gt;""),"",D1))</f>
        <v/>
      </c>
      <c r="CU1" s="291"/>
      <c r="CV1" s="466"/>
      <c r="CW1" s="466"/>
      <c r="CX1" s="466"/>
    </row>
    <row r="2" spans="1:183" ht="13.8" x14ac:dyDescent="0.25">
      <c r="C2" s="1059" t="str">
        <f>IF(B10=K2,M2,IF(B10=K3,M1,IF(B10=K4,M1,IF(B10=R24,R27,IF(B10=R25,R27,"")))))</f>
        <v/>
      </c>
      <c r="D2" s="1059"/>
      <c r="E2" s="1059"/>
      <c r="F2" s="1059"/>
      <c r="G2" s="1059"/>
      <c r="H2" s="1059"/>
      <c r="K2" s="276" t="s">
        <v>180</v>
      </c>
      <c r="M2" s="1058" t="s">
        <v>183</v>
      </c>
      <c r="N2" s="1058"/>
      <c r="O2" s="1058"/>
      <c r="P2" s="1058" t="s">
        <v>184</v>
      </c>
      <c r="Q2" s="1058"/>
      <c r="R2" s="1058"/>
      <c r="S2" s="1058"/>
      <c r="T2" s="1058"/>
      <c r="U2" s="243">
        <f>H12</f>
        <v>0</v>
      </c>
      <c r="CS2" s="1034" t="str">
        <f>IF(D75&lt;&gt;"","",IF(E76&lt;&gt;D12,"",IF(OR(D75,B83&lt;&gt;""),"",C2)))</f>
        <v/>
      </c>
      <c r="CT2" s="1034"/>
      <c r="CU2" s="1034"/>
      <c r="CV2" s="1034"/>
      <c r="CW2" s="1034"/>
      <c r="CX2" s="1034"/>
    </row>
    <row r="3" spans="1:183" x14ac:dyDescent="0.25">
      <c r="C3" s="1060" t="str">
        <f>IF(B22=K2,P2,IF(B22=K3,P1,IF(B22=K4,P1,"")))</f>
        <v/>
      </c>
      <c r="D3" s="1060"/>
      <c r="E3" s="1060"/>
      <c r="F3" s="1060"/>
      <c r="G3" s="1060"/>
      <c r="H3" s="1060"/>
      <c r="K3" s="276" t="s">
        <v>181</v>
      </c>
      <c r="U3" s="245">
        <f>IF(C18&lt;&gt;"",C18,C33)</f>
        <v>0</v>
      </c>
      <c r="CS3" s="1034"/>
      <c r="CT3" s="1034"/>
      <c r="CU3" s="1034"/>
      <c r="CV3" s="1034"/>
      <c r="CW3" s="1034"/>
      <c r="CX3" s="1034"/>
    </row>
    <row r="4" spans="1:183" x14ac:dyDescent="0.25">
      <c r="C4" s="1034" t="str">
        <f>IF(D75&lt;&gt;"","",IF(E76&lt;&gt;D12,"","Esta Liquidación deberá justificar TODOS los gastos relacionados con el viaje y adjuntar la Comisión de Servicio Original."))</f>
        <v/>
      </c>
      <c r="D4" s="1034"/>
      <c r="E4" s="1034"/>
      <c r="F4" s="1034"/>
      <c r="G4" s="1034"/>
      <c r="H4" s="1034"/>
      <c r="I4" s="1034"/>
      <c r="K4" s="276" t="s">
        <v>182</v>
      </c>
      <c r="M4" s="1046" t="s">
        <v>185</v>
      </c>
      <c r="N4" s="1046"/>
      <c r="O4" s="1046"/>
      <c r="P4" s="1046" t="s">
        <v>189</v>
      </c>
      <c r="Q4" s="1046"/>
      <c r="R4" s="1046"/>
      <c r="S4" s="278" t="s">
        <v>104</v>
      </c>
      <c r="U4" s="244"/>
      <c r="CS4" s="1034" t="str">
        <f>IF(D75&lt;&gt;"","",IF(E76&lt;&gt;D12,"",IF(D75&lt;&gt;"","",IF(B83&lt;&gt;"","",C4))))</f>
        <v/>
      </c>
      <c r="CT4" s="1034"/>
      <c r="CU4" s="1034"/>
      <c r="CV4" s="1034"/>
      <c r="CW4" s="1034"/>
      <c r="CX4" s="1034"/>
      <c r="CY4" s="1034"/>
    </row>
    <row r="5" spans="1:183" x14ac:dyDescent="0.25">
      <c r="K5" s="711">
        <v>0</v>
      </c>
      <c r="M5" s="1046" t="s">
        <v>186</v>
      </c>
      <c r="N5" s="1046"/>
      <c r="O5" s="279">
        <v>37.4</v>
      </c>
      <c r="P5" s="1046" t="s">
        <v>190</v>
      </c>
      <c r="Q5" s="1046"/>
      <c r="R5" s="279">
        <v>40.82</v>
      </c>
      <c r="S5" s="279">
        <v>41.78</v>
      </c>
    </row>
    <row r="6" spans="1:183" x14ac:dyDescent="0.25">
      <c r="C6" s="226"/>
      <c r="K6" s="1046" t="s">
        <v>191</v>
      </c>
      <c r="L6" s="1046"/>
      <c r="M6" s="1046" t="s">
        <v>187</v>
      </c>
      <c r="N6" s="1046"/>
      <c r="O6" s="279">
        <v>18.7</v>
      </c>
      <c r="P6" s="1046" t="s">
        <v>103</v>
      </c>
      <c r="Q6" s="1046"/>
      <c r="R6" s="279">
        <v>26.67</v>
      </c>
      <c r="S6" s="279">
        <v>26.67</v>
      </c>
    </row>
    <row r="7" spans="1:183" x14ac:dyDescent="0.25">
      <c r="B7" s="31" t="s">
        <v>120</v>
      </c>
      <c r="C7" s="1065" t="str">
        <f>IF(D75&lt;&gt;"","Para cumplimentar correctamente la liquidación, antes de imprimir atienda a los mensajes","")</f>
        <v>Para cumplimentar correctamente la liquidación, antes de imprimir atienda a los mensajes</v>
      </c>
      <c r="D7" s="1065"/>
      <c r="E7" s="1065"/>
      <c r="F7" s="1065"/>
      <c r="G7" s="1065"/>
      <c r="H7" s="1065"/>
      <c r="I7" s="1065"/>
      <c r="K7" s="278" t="s">
        <v>192</v>
      </c>
      <c r="L7" s="276" t="s">
        <v>193</v>
      </c>
      <c r="M7" s="1046" t="s">
        <v>188</v>
      </c>
      <c r="N7" s="1046"/>
      <c r="O7" s="279">
        <v>65.97</v>
      </c>
      <c r="P7" s="1046" t="s">
        <v>187</v>
      </c>
      <c r="Q7" s="1046"/>
      <c r="R7" s="279">
        <v>20.41</v>
      </c>
      <c r="S7" s="279">
        <v>20.89</v>
      </c>
      <c r="CR7" s="31" t="str">
        <f>IF(D75&lt;&gt;"","",IF(E76&lt;&gt;D12,"",IF(OR(D75,B83&lt;&gt;""),"",B7)))</f>
        <v/>
      </c>
      <c r="CS7" s="1041" t="str">
        <f>IF(OR(D75&lt;&gt;"",E76&lt;&gt;D12,B83&lt;&gt;""),"LIQUIDACIÓN NO VÁLIDA PARA SU PRESENTACIÓN, FALTA CUMPLIMENTAR ALGUNOS DATOS.","")</f>
        <v>LIQUIDACIÓN NO VÁLIDA PARA SU PRESENTACIÓN, FALTA CUMPLIMENTAR ALGUNOS DATOS.</v>
      </c>
      <c r="CT7" s="1041"/>
      <c r="CU7" s="1041"/>
      <c r="CV7" s="1041"/>
      <c r="CW7" s="1041"/>
      <c r="CX7" s="1041"/>
      <c r="CY7" s="1041"/>
    </row>
    <row r="8" spans="1:183" ht="13.65" customHeight="1" x14ac:dyDescent="0.25">
      <c r="B8" s="897"/>
      <c r="C8" s="1065" t="str">
        <f>IF(D75&lt;&gt;"","que van apareciendo y siga las instrucciones que se indican.","")</f>
        <v>que van apareciendo y siga las instrucciones que se indican.</v>
      </c>
      <c r="D8" s="1065"/>
      <c r="E8" s="1065"/>
      <c r="F8" s="1065"/>
      <c r="G8" s="1065"/>
      <c r="H8" s="1065"/>
      <c r="I8" s="1065"/>
      <c r="K8" s="280">
        <v>36526</v>
      </c>
      <c r="L8" s="281">
        <v>4.1666666666666699E-2</v>
      </c>
      <c r="M8" s="1046" t="s">
        <v>194</v>
      </c>
      <c r="N8" s="1046"/>
      <c r="P8" s="1046" t="s">
        <v>188</v>
      </c>
      <c r="Q8" s="1046"/>
      <c r="R8" s="279">
        <v>64.27</v>
      </c>
      <c r="S8" s="279">
        <v>96.41</v>
      </c>
      <c r="CS8" s="1041"/>
      <c r="CT8" s="1041"/>
      <c r="CU8" s="1041"/>
      <c r="CV8" s="1041"/>
      <c r="CW8" s="1041"/>
      <c r="CX8" s="1041"/>
      <c r="CY8" s="1041"/>
    </row>
    <row r="9" spans="1:183" x14ac:dyDescent="0.25">
      <c r="B9" s="318" t="str">
        <f>IF(OR(B10=R24,B10=R25),"FEDER US-2","")</f>
        <v/>
      </c>
      <c r="C9" s="903"/>
      <c r="D9" s="903"/>
      <c r="E9" s="903"/>
      <c r="F9" s="903"/>
      <c r="G9" s="903"/>
      <c r="H9" s="1066"/>
      <c r="I9" s="1067"/>
      <c r="K9" s="280">
        <v>73050</v>
      </c>
      <c r="L9" s="281">
        <v>1.04097222222222</v>
      </c>
      <c r="M9" s="282">
        <v>0.58333333333333304</v>
      </c>
      <c r="N9" s="282">
        <v>0.20833333333333301</v>
      </c>
      <c r="P9" s="278" t="s">
        <v>194</v>
      </c>
      <c r="Q9" s="276" t="s">
        <v>207</v>
      </c>
      <c r="R9" s="276" t="s">
        <v>208</v>
      </c>
      <c r="S9" s="279">
        <v>20.89</v>
      </c>
      <c r="CR9" s="16"/>
      <c r="CS9" s="16"/>
      <c r="CT9" s="16"/>
      <c r="CU9" s="16"/>
      <c r="CV9" s="16"/>
      <c r="CW9" s="16"/>
      <c r="CX9" s="1035"/>
      <c r="CY9" s="1036"/>
    </row>
    <row r="10" spans="1:183" ht="15.6" x14ac:dyDescent="0.3">
      <c r="B10" s="893" t="s">
        <v>154</v>
      </c>
      <c r="C10" s="1064" t="str">
        <f>IF(B10=K1,K15,IF(D12="","ESCRIBA SU NOMBRE Y APELLIDOS",IF(H12=""," FALTA INDICAR EL D.N.I.",IF(C13="","FALTA CUMPLIMENTAR LA VINCULACIÓN CON EL PROYECTO",IF(H13="","FALTA INDICAR CUERPO O ESCALA",IF(C14="","FALTA CUMPLIMENTAR LA ACTIVIDAD/EVENTO AL QUE ASISTE",IF(C15="","FALTA CUMPLIMENTAR EL ITINERARIO",IF(H15="","FALTA CUMPLIMENTAR EL LUGAR DE LA ACTIVIDAD / EVENTO",IF(D16="","FALTA INDICAR LA FECHA DE INICIO DE LA ACTIVIDAD",IF(F16="","FALTA INDICAR LA FECHA DE FIN DE LA ACTIVIDAD",IF(AND(K22&lt;&gt;0,C18=""),"FALTA INDICAR LA FECHA DE SALIDA",IF(AND(K22&lt;&gt;0,C20=""),"FALTA INDICAR LA FECHA DE REGRESO",IF(OR(B18="Falta indicar la hora",B20="Falta indicar la hora"),"FALTA INDICAR LA HORA",IF(OR(H24="Falta indicar las noches",H25="Falta indicar las noches"),"FALTA INDICAR LAS NOCHES",IF(H28="Falta indicar los días","FALTA INDICAR LOS DÍAS",IF(AND(K45&lt;&gt;0,C33=""),"FALTA INDICAR LA FECHA DESDE EN EL EXTRANJERO",IF(AND(K45&lt;&gt;0,C35=""),"FALTA INDICAR LA FECHA HASTA EN EL EXTRANJERO ",IF(OR(F33="Falta indicar la hora",F35="Falta indicar la hora"),"FALTA INDICAR LA HORA",IF(OR(H39="Falta indicar las noches",H40="Falta indicar las noches"),"FALTA INDICAR LAS NOCHES",IF(H43="Falta indicar los días","FALTA INDICAR LOS DÍAS",IF(D55="LIQUIDACIÓN NO VÁLIDA, INDIQUE LA MATRICULA","INDIQUE LA MATRÍCULA",IF(D55="ELIJA LA OPCIÓN DEL TRANSPORTE","FALTA INDICAR EL MEDIO DE TRANSPORTE",IF(D56=""," FALTA INDICAR LA FECHA DE INICIO DE LA ACTIVIDAD",IF(F56="","FALTA INDICAR LA FECHA DE FIN DE LA ACTIVIDAD","LIQUIDACIÓN DE DIETAS Y GASTOS DE LOCOMOCIÓN"))))))))))))))))))))))))</f>
        <v>ANTES DE COMENZAR DEBE ELEGIR UNA OPCIÓN, MINISTERIO O JUNTA</v>
      </c>
      <c r="D10" s="1064"/>
      <c r="E10" s="1064"/>
      <c r="F10" s="1064"/>
      <c r="G10" s="1064"/>
      <c r="H10" s="1064"/>
      <c r="I10" s="1064"/>
      <c r="M10" s="282">
        <v>0.66666666666666696</v>
      </c>
      <c r="N10" s="278" t="s">
        <v>195</v>
      </c>
      <c r="P10" s="282">
        <v>0.58333333333333304</v>
      </c>
      <c r="Q10" s="276" t="s">
        <v>211</v>
      </c>
      <c r="S10" s="279">
        <v>26.67</v>
      </c>
      <c r="U10" s="394"/>
      <c r="V10" s="276" t="s">
        <v>242</v>
      </c>
      <c r="W10" s="333">
        <f>SUM(G23:G25)</f>
        <v>0</v>
      </c>
      <c r="AA10" s="337" t="s">
        <v>350</v>
      </c>
      <c r="AD10" s="337" t="s">
        <v>374</v>
      </c>
      <c r="AM10" s="1109" t="s">
        <v>377</v>
      </c>
      <c r="AN10" s="1110"/>
      <c r="AO10" s="425" t="s">
        <v>378</v>
      </c>
      <c r="AP10" s="426" t="s">
        <v>378</v>
      </c>
      <c r="AQ10" s="426" t="s">
        <v>379</v>
      </c>
      <c r="AR10" s="431">
        <v>0.21</v>
      </c>
      <c r="AS10" s="429" t="s">
        <v>380</v>
      </c>
      <c r="CR10" s="201" t="str">
        <f>IF(D75&lt;&gt;"","",IF(E76&lt;&gt;D12,"",IF(OR(D75,B83&lt;&gt;""),"",B10)))</f>
        <v/>
      </c>
      <c r="CS10" s="1037" t="str">
        <f>IF(D75&lt;&gt;"","",IF(E76&lt;&gt;D12,"",IF(OR(D75,B83&lt;&gt;""),"",C10)))</f>
        <v/>
      </c>
      <c r="CT10" s="1037"/>
      <c r="CU10" s="1037"/>
      <c r="CV10" s="1037"/>
      <c r="CW10" s="1037"/>
      <c r="CX10" s="1037"/>
      <c r="CY10" s="1037"/>
    </row>
    <row r="11" spans="1:183" ht="13.8" x14ac:dyDescent="0.25">
      <c r="B11" s="23" t="str">
        <f>IF(B10=K1,"1º Elija la Opción","DATOS DEL TITULAR")</f>
        <v>1º Elija la Opción</v>
      </c>
      <c r="C11" s="1038"/>
      <c r="D11" s="1038"/>
      <c r="E11" s="1038"/>
      <c r="F11" s="1038"/>
      <c r="G11" s="1038"/>
      <c r="H11" s="1038"/>
      <c r="K11" s="276" t="s">
        <v>322</v>
      </c>
      <c r="M11" s="282">
        <v>0.91666666666666696</v>
      </c>
      <c r="N11" s="282">
        <f>D20-D18</f>
        <v>0</v>
      </c>
      <c r="P11" s="282">
        <v>0.625</v>
      </c>
      <c r="V11" s="276" t="str">
        <f>IF(W10&gt;0,"Total alojamiento en T. Nacional: "&amp;TEXT((W10),"#.###,00 €")&amp;" desglosado en:" &amp; V15 &amp;" " &amp;" " &amp; V16 &amp;" " &amp; V17,"")</f>
        <v/>
      </c>
      <c r="AM11" s="423"/>
      <c r="AN11" s="423" t="s">
        <v>350</v>
      </c>
      <c r="AO11" s="432">
        <v>0.1</v>
      </c>
      <c r="AP11" s="424">
        <v>0.1</v>
      </c>
      <c r="AQ11" s="427"/>
      <c r="AR11" s="428"/>
      <c r="AS11" s="429"/>
      <c r="CR11" s="467" t="str">
        <f>IF(D75&lt;&gt;"","",IF(E76&lt;&gt;D12,"",IF(OR(D75,B83&lt;&gt;""),"",B11)))</f>
        <v/>
      </c>
      <c r="CS11" s="1038"/>
      <c r="CT11" s="1038"/>
      <c r="CU11" s="1038"/>
      <c r="CV11" s="1038"/>
      <c r="CW11" s="1038"/>
      <c r="CX11" s="1038"/>
    </row>
    <row r="12" spans="1:183" ht="13.8" x14ac:dyDescent="0.25">
      <c r="B12" s="1024" t="str">
        <f>IF(B10=K11,"","Nombre y Apellidos del titular de la liquidación:")</f>
        <v>Nombre y Apellidos del titular de la liquidación:</v>
      </c>
      <c r="C12" s="1024"/>
      <c r="D12" s="1062"/>
      <c r="E12" s="1063"/>
      <c r="F12" s="1063"/>
      <c r="G12" s="55" t="s">
        <v>198</v>
      </c>
      <c r="H12" s="1061"/>
      <c r="I12" s="1061"/>
      <c r="P12" s="282">
        <v>0.91666666666666696</v>
      </c>
      <c r="S12" s="393"/>
      <c r="T12" s="393" t="s">
        <v>350</v>
      </c>
      <c r="U12" s="276" t="s">
        <v>152</v>
      </c>
      <c r="V12" s="324" t="str">
        <f>B23</f>
        <v>Alojamiento (según decreto)</v>
      </c>
      <c r="W12" s="336">
        <f>C23</f>
        <v>0</v>
      </c>
      <c r="X12" s="326" t="str">
        <f>D23</f>
        <v>noche</v>
      </c>
      <c r="Y12" s="335" t="s">
        <v>259</v>
      </c>
      <c r="Z12" s="335" t="str">
        <f>E23</f>
        <v/>
      </c>
      <c r="AA12" s="326" t="str">
        <f>F23</f>
        <v>€/noche</v>
      </c>
      <c r="AB12" s="335" t="str">
        <f>G23</f>
        <v/>
      </c>
      <c r="AC12" s="326" t="str">
        <f>IF(AB12&lt;&gt;"","€;","")</f>
        <v/>
      </c>
      <c r="AD12" s="1111" t="str">
        <f>IF(AB12&lt;&gt;0,W12&amp;""&amp;X12&amp;" "&amp;Y12&amp;" "&amp;Z12&amp;$AA$10&amp;" "&amp;AB12&amp;AC12,"")</f>
        <v xml:space="preserve">0noche a €/N </v>
      </c>
      <c r="AE12" s="1112"/>
      <c r="AF12" s="1113"/>
      <c r="AG12" s="338"/>
      <c r="AH12" s="338" t="s">
        <v>375</v>
      </c>
      <c r="AI12" s="338" t="s">
        <v>350</v>
      </c>
      <c r="AJ12" s="338"/>
      <c r="AM12" s="420" t="s">
        <v>399</v>
      </c>
      <c r="AN12" s="422" t="str">
        <f>IF(AM13=0,"",AM13/W13)</f>
        <v/>
      </c>
      <c r="AO12" s="420"/>
      <c r="AP12" s="420"/>
      <c r="AQ12" s="421"/>
      <c r="AR12" s="428"/>
      <c r="AS12" s="429"/>
      <c r="CR12" s="1024" t="str">
        <f t="shared" ref="CR12:CR18" si="0">IF($D$75&lt;&gt;"","",IF($E$76&lt;&gt;$D$12,"",IF($B$83&lt;&gt;"","",B12)))</f>
        <v/>
      </c>
      <c r="CS12" s="1024"/>
      <c r="CT12" s="1039" t="str">
        <f>IF(D75&lt;&gt;"","",IF(E76&lt;&gt;D12,"",IF(B83&lt;&gt;"","",D12)))</f>
        <v/>
      </c>
      <c r="CU12" s="1039"/>
      <c r="CV12" s="1039"/>
      <c r="CW12" s="55" t="str">
        <f>IF(D75&lt;&gt;"","",IF($E$76&lt;&gt;D12,"",IF(OR($D$75,$B$83&lt;&gt;""),"",G12)))</f>
        <v/>
      </c>
      <c r="CX12" s="1040" t="str">
        <f>IF(D75&lt;&gt;"","",IF(E76&lt;&gt;D12,"",IF(OR(D75,B83&lt;&gt;""),"",H12)))</f>
        <v/>
      </c>
      <c r="CY12" s="1040"/>
    </row>
    <row r="13" spans="1:183" ht="13.8" x14ac:dyDescent="0.25">
      <c r="B13" s="53" t="str">
        <f>IF(B10=K11,"","Vinculación con el proyecto.:")</f>
        <v>Vinculación con el proyecto.:</v>
      </c>
      <c r="C13" s="1121"/>
      <c r="D13" s="1122"/>
      <c r="E13" s="1122"/>
      <c r="F13" s="1122"/>
      <c r="G13" s="51" t="s">
        <v>130</v>
      </c>
      <c r="H13" s="1123"/>
      <c r="I13" s="1123"/>
      <c r="K13" s="276" t="s">
        <v>209</v>
      </c>
      <c r="T13" s="538" t="str">
        <f>IF(W13=0,"",U13/W13)</f>
        <v/>
      </c>
      <c r="U13" s="279" t="str">
        <f>K24</f>
        <v/>
      </c>
      <c r="V13" s="324" t="str">
        <f t="shared" ref="V13:V14" si="1">B24</f>
        <v>Alojamiento (según factura)</v>
      </c>
      <c r="W13" s="336">
        <f t="shared" ref="W13:W14" si="2">C24</f>
        <v>0</v>
      </c>
      <c r="X13" s="326" t="str">
        <f t="shared" ref="X13:X14" si="3">D24</f>
        <v>noche</v>
      </c>
      <c r="Y13" s="335" t="s">
        <v>259</v>
      </c>
      <c r="Z13" s="335">
        <f t="shared" ref="Z13:Z14" si="4">E24</f>
        <v>0</v>
      </c>
      <c r="AA13" s="326" t="str">
        <f t="shared" ref="AA13:AA14" si="5">F24</f>
        <v>€/noche</v>
      </c>
      <c r="AB13" s="335">
        <f t="shared" ref="AB13:AB14" si="6">G24</f>
        <v>0</v>
      </c>
      <c r="AC13" s="326" t="str">
        <f>IF(AB13&lt;&gt;"","€;","")</f>
        <v>€;</v>
      </c>
      <c r="AD13" s="1111" t="str">
        <f>IF(AB13&lt;&gt;0,W13&amp;""&amp;X13&amp;" "&amp;Y13&amp;" "&amp;Z13&amp;$AA$10&amp;" "&amp;AB13&amp;AC13,"")</f>
        <v/>
      </c>
      <c r="AE13" s="1112"/>
      <c r="AF13" s="1113"/>
      <c r="AG13" s="338"/>
      <c r="AH13" s="433">
        <f>IF(AB13&gt;U13,U13,AB13)</f>
        <v>0</v>
      </c>
      <c r="AI13" s="408" t="str">
        <f>IF(AH13=0,"",AH13/W13)</f>
        <v/>
      </c>
      <c r="AJ13" s="338" t="str">
        <f>IF(AB13&lt;&gt;0,W13&amp;""&amp;X13&amp;" "&amp;Y13&amp;" "&amp;AI13&amp;$AA$10&amp;" "&amp;AH13&amp;AC13,"")</f>
        <v/>
      </c>
      <c r="AM13" s="422">
        <f>AQ13*AO11*AR10+AQ13</f>
        <v>0</v>
      </c>
      <c r="AN13" s="420" t="str">
        <f>IF(AN12="","",IF(AB13&lt;&gt;0,W13&amp;""&amp;X13&amp;" "&amp;Y13&amp;" "&amp;AN12&amp;$AA$10&amp;" "&amp;AT13&amp;AC13,""))</f>
        <v/>
      </c>
      <c r="AO13" s="420"/>
      <c r="AP13" s="420"/>
      <c r="AQ13" s="427">
        <f>AS13/(1+AP11)</f>
        <v>0</v>
      </c>
      <c r="AR13" s="428"/>
      <c r="AS13" s="430">
        <f>AH13</f>
        <v>0</v>
      </c>
      <c r="AT13" s="542" t="str">
        <f>IF(AN12="","",AN12*W13)</f>
        <v/>
      </c>
      <c r="CR13" s="438" t="str">
        <f t="shared" si="0"/>
        <v/>
      </c>
      <c r="CS13" s="1042" t="str">
        <f>IF(D75&lt;&gt;"","",IF(E76&lt;&gt;D12,"",IF(OR(D75,B83&lt;&gt;""),"",C13)))</f>
        <v/>
      </c>
      <c r="CT13" s="1042"/>
      <c r="CU13" s="1042"/>
      <c r="CV13" s="1042"/>
      <c r="CW13" s="55" t="str">
        <f>IF(D75&lt;&gt;"","",IF($E$76&lt;&gt;D12,"",IF(OR($D$75,$B$83&lt;&gt;""),"",G13)))</f>
        <v/>
      </c>
      <c r="CX13" s="1043" t="str">
        <f>IF(D75&lt;&gt;"","",IF(E76&lt;&gt;D12,"",IF(OR(D75,B83&lt;&gt;""),"",H13)))</f>
        <v/>
      </c>
      <c r="CY13" s="1043"/>
    </row>
    <row r="14" spans="1:183" x14ac:dyDescent="0.25">
      <c r="B14" s="54" t="str">
        <f>IF(B10=K11,"","Actividad/evento al que asiste:")</f>
        <v>Actividad/evento al que asiste:</v>
      </c>
      <c r="C14" s="1120"/>
      <c r="D14" s="1054"/>
      <c r="E14" s="1054"/>
      <c r="F14" s="1054"/>
      <c r="G14" s="1054"/>
      <c r="H14" s="1054"/>
      <c r="I14" s="1054"/>
      <c r="K14" s="276" t="s">
        <v>210</v>
      </c>
      <c r="T14" s="538" t="str">
        <f>IF(W14=0,"",U14/W14)</f>
        <v/>
      </c>
      <c r="U14" s="279" t="str">
        <f>K25</f>
        <v/>
      </c>
      <c r="V14" s="324" t="str">
        <f t="shared" si="1"/>
        <v>Alojamiento Pagos a Terceros</v>
      </c>
      <c r="W14" s="336">
        <f t="shared" si="2"/>
        <v>0</v>
      </c>
      <c r="X14" s="326" t="str">
        <f t="shared" si="3"/>
        <v>noche</v>
      </c>
      <c r="Y14" s="335" t="s">
        <v>259</v>
      </c>
      <c r="Z14" s="335">
        <f t="shared" si="4"/>
        <v>0</v>
      </c>
      <c r="AA14" s="326" t="str">
        <f t="shared" si="5"/>
        <v>€/noche</v>
      </c>
      <c r="AB14" s="335">
        <f t="shared" si="6"/>
        <v>0</v>
      </c>
      <c r="AC14" s="326" t="str">
        <f>IF(AB14&lt;&gt;"","€;","")</f>
        <v>€;</v>
      </c>
      <c r="AD14" s="339" t="str">
        <f>IF(AB14&lt;&gt;0,V14&amp;" "&amp;W14&amp;""&amp;X14&amp;" "&amp;Y14&amp;" "&amp;Z14&amp;$AA$10&amp;" "&amp;AB14&amp;AC14,"")</f>
        <v/>
      </c>
      <c r="AE14" s="340"/>
      <c r="AF14" s="341"/>
      <c r="AG14" s="338"/>
      <c r="AH14" s="408">
        <f>IF(AB14&gt;U14,U14,AB14)</f>
        <v>0</v>
      </c>
      <c r="AI14" s="408" t="str">
        <f>IF(AH14=0,"",AH14/W14)</f>
        <v/>
      </c>
      <c r="AJ14" s="338" t="str">
        <f>IF(AB14&lt;&gt;0,V14&amp;" "&amp;W14&amp;""&amp;X14&amp;" "&amp;Y14&amp;" "&amp;AI14&amp;$AA$10&amp;" "&amp;AH14&amp;AC14,"")</f>
        <v/>
      </c>
      <c r="AM14" s="422">
        <f>AQ14*AO11*AR10+AQ14</f>
        <v>0</v>
      </c>
      <c r="AN14" s="420"/>
      <c r="AO14" s="420"/>
      <c r="AP14" s="420"/>
      <c r="AQ14" s="427">
        <f>AS14/(1+AP11)</f>
        <v>0</v>
      </c>
      <c r="AR14" s="428"/>
      <c r="AS14" s="430">
        <f>AH14</f>
        <v>0</v>
      </c>
      <c r="AT14" s="541" t="str">
        <f>IF(AN16="","",W14*AN16)</f>
        <v/>
      </c>
      <c r="CR14" s="438" t="str">
        <f t="shared" si="0"/>
        <v/>
      </c>
      <c r="CS14" s="1044" t="str">
        <f>IF(D75&lt;&gt;"","",IF(E76&lt;&gt;D12,"",IF(OR(D75,B83&lt;&gt;""),"",C14)))</f>
        <v/>
      </c>
      <c r="CT14" s="1044"/>
      <c r="CU14" s="1044"/>
      <c r="CV14" s="1044"/>
      <c r="CW14" s="1044"/>
      <c r="CX14" s="1044"/>
      <c r="CY14" s="1044"/>
    </row>
    <row r="15" spans="1:183" ht="13.8" x14ac:dyDescent="0.25">
      <c r="A15" s="9"/>
      <c r="B15" s="44" t="str">
        <f>IF(B10=K11,"","Itinerario:")</f>
        <v>Itinerario:</v>
      </c>
      <c r="C15" s="1051"/>
      <c r="D15" s="1052"/>
      <c r="E15" s="1052"/>
      <c r="F15" s="1052"/>
      <c r="G15" s="56" t="s">
        <v>690</v>
      </c>
      <c r="H15" s="1053"/>
      <c r="I15" s="1054"/>
      <c r="J15" s="276"/>
      <c r="K15" s="276" t="s">
        <v>217</v>
      </c>
      <c r="P15" s="277" t="s">
        <v>129</v>
      </c>
      <c r="U15" s="276"/>
      <c r="V15" s="943" t="str">
        <f>IF(AB12&lt;&gt;0,V12 &amp; " " &amp; W12 &amp;" " &amp; X12 &amp;" " &amp; Y12 &amp; " "&amp; Z12  &amp; " "&amp; AA12  &amp; " "&amp; AB12&amp;AC12,"")</f>
        <v xml:space="preserve">Alojamiento (según decreto) 0 noche a  €/noche </v>
      </c>
      <c r="W15" s="944"/>
      <c r="X15" s="944"/>
      <c r="Y15" s="944"/>
      <c r="Z15" s="944"/>
      <c r="AA15" s="944"/>
      <c r="AB15" s="945"/>
      <c r="AC15" s="1048" t="str">
        <f>IF(W10&gt;0,AD10&amp;" "&amp;AD12&amp;" "&amp;AD13,"")</f>
        <v/>
      </c>
      <c r="AD15" s="1049"/>
      <c r="AE15" s="1049"/>
      <c r="AF15" s="1049"/>
      <c r="AG15" s="1050"/>
      <c r="AH15" s="338"/>
      <c r="AI15" s="338"/>
      <c r="AJ15" s="338"/>
      <c r="AK15" s="269"/>
      <c r="AL15" s="269"/>
      <c r="AM15" s="420" t="str">
        <f>IF(AB14&lt;&gt;0,V14&amp;" "&amp;W14&amp;""&amp;X14&amp;" "&amp;Y14&amp;" "&amp;AN16&amp;$AA$10&amp;" "&amp;AT14&amp;AC14,"")</f>
        <v/>
      </c>
      <c r="AN15" s="420"/>
      <c r="AO15" s="420"/>
      <c r="AP15" s="420"/>
      <c r="AQ15" s="421"/>
      <c r="AR15" s="428"/>
      <c r="AS15" s="429"/>
      <c r="BB15"/>
      <c r="BC15"/>
      <c r="BD15"/>
      <c r="BE15"/>
      <c r="BF15"/>
      <c r="BG15"/>
      <c r="BH15"/>
      <c r="BI15"/>
      <c r="CR15" s="438" t="str">
        <f t="shared" si="0"/>
        <v/>
      </c>
      <c r="CS15" s="1045" t="str">
        <f>IF(D75&lt;&gt;"","",IF(E76&lt;&gt;D12,"",IF(OR(D75,B83&lt;&gt;""),"",C15)))</f>
        <v/>
      </c>
      <c r="CT15" s="1045"/>
      <c r="CU15" s="1045"/>
      <c r="CV15" s="1045"/>
      <c r="CW15" s="56" t="str">
        <f>IF(D75&lt;&gt;"","",IF(E76&lt;&gt;D12,"",IF(OR(D75,B83&lt;&gt;""),"",G15)))</f>
        <v/>
      </c>
      <c r="CX15" s="1044" t="str">
        <f>IF(D75&lt;&gt;"","",IF(E76&lt;&gt;D12,"",IF(OR(D75,B83&lt;&gt;""),"",H15)))</f>
        <v/>
      </c>
      <c r="CY15" s="1044"/>
    </row>
    <row r="16" spans="1:183" s="168" customFormat="1" ht="13.8" x14ac:dyDescent="0.25">
      <c r="A16" s="9"/>
      <c r="B16" s="44" t="str">
        <f>IF(B10=K11,"","Fecha de actividad/evento:")</f>
        <v>Fecha de actividad/evento:</v>
      </c>
      <c r="C16" s="61" t="s">
        <v>131</v>
      </c>
      <c r="D16" s="233"/>
      <c r="E16" s="61" t="s">
        <v>132</v>
      </c>
      <c r="F16" s="234"/>
      <c r="G16" s="901"/>
      <c r="H16" s="185"/>
      <c r="I16" s="185"/>
      <c r="J16" s="275"/>
      <c r="K16" s="276" t="s">
        <v>218</v>
      </c>
      <c r="L16" s="276"/>
      <c r="M16" s="276"/>
      <c r="N16" s="276"/>
      <c r="O16" s="276"/>
      <c r="P16" s="277" t="s">
        <v>134</v>
      </c>
      <c r="Q16" s="276"/>
      <c r="R16" s="276"/>
      <c r="S16" s="276"/>
      <c r="T16" s="276"/>
      <c r="U16" s="276"/>
      <c r="V16" s="943" t="str">
        <f>IF(AB13&lt;&gt;0,V13 &amp; " " &amp; W13 &amp;" " &amp; X13 &amp;" " &amp; Y13 &amp; " "&amp; Z13  &amp; " "&amp; AA13  &amp; " "&amp; AB13&amp;AC13,"")</f>
        <v/>
      </c>
      <c r="W16" s="944"/>
      <c r="X16" s="944"/>
      <c r="Y16" s="944"/>
      <c r="Z16" s="944"/>
      <c r="AA16" s="944"/>
      <c r="AB16" s="945"/>
      <c r="AC16" s="1048" t="str">
        <f>IF(AB14&lt;&gt;0,AD10&amp;" "&amp;AD14,"")</f>
        <v/>
      </c>
      <c r="AD16" s="1049"/>
      <c r="AE16" s="1049"/>
      <c r="AF16" s="1049"/>
      <c r="AG16" s="1050"/>
      <c r="AH16" s="338"/>
      <c r="AI16" s="338"/>
      <c r="AJ16" s="338"/>
      <c r="AK16" s="242"/>
      <c r="AL16" s="242"/>
      <c r="AM16" s="420"/>
      <c r="AN16" s="422" t="str">
        <f>IF(AM14=0,"",AM14/W14)</f>
        <v/>
      </c>
      <c r="AO16" s="420"/>
      <c r="AP16" s="420"/>
      <c r="AQ16" s="421"/>
      <c r="AR16" s="428"/>
      <c r="AS16" s="429"/>
      <c r="AT16" s="262"/>
      <c r="AU16" s="22"/>
      <c r="AV16" s="22"/>
      <c r="AW16" s="22"/>
      <c r="AX16" s="22"/>
      <c r="AY16" s="22"/>
      <c r="AZ16" s="22"/>
      <c r="BA16" s="22"/>
      <c r="BB16"/>
      <c r="BC16"/>
      <c r="BD16"/>
      <c r="BE16"/>
      <c r="BF16"/>
      <c r="BG16"/>
      <c r="BH16"/>
      <c r="BI16"/>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438" t="str">
        <f t="shared" si="0"/>
        <v/>
      </c>
      <c r="CS16" s="61" t="str">
        <f>IF(D75&lt;&gt;"","",IF(E76&lt;&gt;D12,"",IF(OR(D75,B83&lt;&gt;""),"",C16)))</f>
        <v/>
      </c>
      <c r="CT16" s="468" t="str">
        <f>IF(D75&lt;&gt;"","",IF(E76&lt;&gt;D12,"",IF(OR(D75,B83&lt;&gt;""),"",D16)))</f>
        <v/>
      </c>
      <c r="CU16" s="61" t="str">
        <f>IF(D75&lt;&gt;"","",IF(E76&lt;&gt;D12,"",IF(OR(D75,B83&lt;&gt;""),"",E16)))</f>
        <v/>
      </c>
      <c r="CV16" s="468" t="str">
        <f>IF(D75&lt;&gt;"","",IF(E76&lt;&gt;D12,"",IF(OR(D75,B83&lt;&gt;""),"",F16)))</f>
        <v/>
      </c>
      <c r="CW16" s="56"/>
      <c r="CX16" s="185"/>
      <c r="CY16" s="185"/>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row>
    <row r="17" spans="1:183" ht="15.6" x14ac:dyDescent="0.3">
      <c r="B17" s="87" t="str">
        <f>IF(B10=K11,"","Dietas Territorio Nacional")</f>
        <v>Dietas Territorio Nacional</v>
      </c>
      <c r="C17" s="173"/>
      <c r="D17" s="232" t="s">
        <v>164</v>
      </c>
      <c r="E17" s="1055"/>
      <c r="F17" s="1055"/>
      <c r="G17" s="1055"/>
      <c r="H17" s="1055"/>
      <c r="I17" s="1055"/>
      <c r="P17" s="277" t="s">
        <v>135</v>
      </c>
      <c r="U17" s="276"/>
      <c r="V17" s="943" t="str">
        <f>IF(AB14&lt;&gt;0,V14 &amp; " " &amp; W14 &amp;" " &amp; X14 &amp;" " &amp; Y14 &amp; " "&amp; Z14  &amp; " "&amp; AA14  &amp; " "&amp; AB14&amp;AC14,"")</f>
        <v/>
      </c>
      <c r="W17" s="944"/>
      <c r="X17" s="944"/>
      <c r="Y17" s="944"/>
      <c r="Z17" s="944"/>
      <c r="AA17" s="944"/>
      <c r="AB17" s="945"/>
      <c r="AC17" s="326"/>
      <c r="AD17" s="338"/>
      <c r="AE17" s="338"/>
      <c r="AF17" s="338"/>
      <c r="AG17" s="338"/>
      <c r="AH17" s="338"/>
      <c r="AI17" s="338"/>
      <c r="AJ17" s="338"/>
      <c r="AM17" s="420"/>
      <c r="AN17" s="420"/>
      <c r="AO17" s="420"/>
      <c r="AP17" s="420"/>
      <c r="AQ17" s="421"/>
      <c r="AR17" s="428"/>
      <c r="AS17" s="429"/>
      <c r="BB17"/>
      <c r="BC17"/>
      <c r="BD17"/>
      <c r="BE17"/>
      <c r="BF17"/>
      <c r="BG17"/>
      <c r="BH17"/>
      <c r="BI17"/>
      <c r="CR17" s="463" t="str">
        <f t="shared" si="0"/>
        <v/>
      </c>
      <c r="CS17" s="173"/>
      <c r="CT17" s="232"/>
      <c r="CU17" s="1027"/>
      <c r="CV17" s="1027"/>
      <c r="CW17" s="1027"/>
      <c r="CX17" s="1027"/>
      <c r="CY17" s="1027"/>
    </row>
    <row r="18" spans="1:183" ht="14.4" thickBot="1" x14ac:dyDescent="0.3">
      <c r="A18" s="10"/>
      <c r="B18" s="23" t="str">
        <f>IF(AND(C18&lt;&gt;"",D18=""),"Falta indicar la hora","Fecha inicio del viaje")</f>
        <v>Fecha inicio del viaje</v>
      </c>
      <c r="C18" s="120"/>
      <c r="D18" s="119"/>
      <c r="E18" s="1056" t="str">
        <f>IF(B18="Falta indicar la hora","",IF(AND(C2=M1,C18=C20,C18&lt;&gt;"",D18&gt;P10,D20&lt;=P12),"No corresponde dietas",IF(AND(C2=M1,C18=C20,C18&lt;&gt;"",D18&lt;=P10,D20&gt;P12),"Manutención sin pernoctar",IF(AND(C2=M1,C18=C20,C18&lt;&gt;"",D18&gt;P10,D20&gt;P12),"1/2 Manutención",IF(AND(C2=M1,C18=C20,C18&lt;&gt;"",D18&lt;=P10,D20&lt;=P11),"No corresponde dietas",IF(AND(C2=M1,C18=C20,C18&lt;&gt;"",D18&lt;=P10,D20&gt;P11,D20&lt;=P12),"1/2 Manutención",IF(AND(C2=M1,C18&lt;&gt;C20,C18&lt;&gt;"",D18&lt;=P10),"Para el día de salida: salida , manutención pernoctando",IF(AND(C2=M1,C18&lt;&gt;C20,C18&lt;&gt;"",D18&gt;P12),"Para el día de salida: No corresponde manutención",IF(AND(C2=M1,C18&lt;&gt;C20,C18&lt;&gt;"",D18&gt;P10),"Para el día de salida:  1/2 manutención",IF(AND(C2=M2,C18&lt;&gt;"",C18=C20,D18&lt;=M9,D20&gt;M10,N11&gt;=N9),"Sólo le corresponde 1/2 manutención",IF(AND(C2=M2,C18&lt;&gt;"",C18&lt;&gt;C20,D18&lt;=M9),"Para el día de salida: Manutención. Completa",IF(AND(C2=M2,C18&lt;&gt;"",C18&lt;&gt;C20,D18&gt;M9,D18&lt;=M11),"Para el día de salida:1/2 manutención",IF(AND(C2=M2,C18&lt;&gt;"",C18&lt;&gt;C20,D18&gt;=M11),"Para el día de salida no corresponde dieta",IF(AND(OR(D18&gt;=M9,D20&lt;=M10,N11&lt;N9),C2=M2,C18&lt;&gt;"",C18=C20),"No le corresponde dietas",IF(AND(C2=R27,C18=C20,C18&lt;&gt;"",D18&gt;P10,D20&lt;=P12),"No corresponde dietas",IF(AND(C2=R27,C18=C20,C18&lt;&gt;"",D18&lt;=P10,D20&gt;P12),"Manutención sin pernoctar",IF(AND(C2=R27,C18=C20,C18&lt;&gt;"",D18&gt;P10,D20&gt;P12),"1/2 Manutención",IF(AND(C2=R27,C18=C20,C18&lt;&gt;"",D18&lt;=P10,D20&lt;=P11),"No corresponde",IF(AND(C2=R27,C18=C20,C18&lt;&gt;"",D18&lt;=P10,D20&gt;P11,D20&lt;=P12),"1/2 Manutención",IF(AND(C2=R27,C18&lt;&gt;C20,C18&lt;&gt;"",D18&gt;P12),"Para el día de salida: No corresponde manutención",IF(AND(C2=R27,C18&lt;&gt;C20,C18&lt;&gt;"",D18&lt;=P10),"Para el día de salida: salida , manutención pernoctando",IF(AND(C2=R27,C18&lt;&gt;C20,C18&lt;&gt;"",D18&gt;P10),"Para el día de salida:  1/2",""))))))))))))))))))))))</f>
        <v/>
      </c>
      <c r="F18" s="1056"/>
      <c r="G18" s="1056"/>
      <c r="H18" s="1056"/>
      <c r="I18" s="1056"/>
      <c r="K18" s="276" t="s">
        <v>166</v>
      </c>
      <c r="P18" s="277" t="s">
        <v>137</v>
      </c>
      <c r="BB18"/>
      <c r="BC18"/>
      <c r="BD18"/>
      <c r="BE18"/>
      <c r="BF18"/>
      <c r="BG18"/>
      <c r="BH18"/>
      <c r="BI18"/>
      <c r="CR18" s="23" t="str">
        <f t="shared" si="0"/>
        <v/>
      </c>
      <c r="CS18" s="469" t="str">
        <f>IF(C18="","",IF(D75&lt;&gt;"","",IF(E76&lt;&gt;D12,"",IF(OR(D75,B83&lt;&gt;""),"",C18))))</f>
        <v/>
      </c>
      <c r="CT18" s="470" t="str">
        <f>IF(D18="","",IF(D75&lt;&gt;"","",IF(E76&lt;&gt;D12,"",IF(OR(D75,B83&lt;&gt;""),"",D18))))</f>
        <v/>
      </c>
      <c r="CU18" s="1027" t="str">
        <f>IF($D$75&lt;&gt;"","",IF($E$76&lt;&gt;$D$12,"",IF(OR($D$75,$B$83&lt;&gt;""),"",E18)))</f>
        <v/>
      </c>
      <c r="CV18" s="1027"/>
      <c r="CW18" s="1027"/>
      <c r="CX18" s="1027"/>
      <c r="CY18" s="1027"/>
    </row>
    <row r="19" spans="1:183" s="168" customFormat="1" ht="14.4" thickTop="1" x14ac:dyDescent="0.25">
      <c r="A19" s="10"/>
      <c r="B19" s="171" t="str">
        <f>IF(B22=K4,"MADRID","")</f>
        <v/>
      </c>
      <c r="C19" s="186"/>
      <c r="D19" s="187"/>
      <c r="E19" s="1056" t="str">
        <f>IF(B10=K1,"",IF(K19&lt;1,"",IF(K19="","",IF(AND(C21&lt;&gt;"",K19&gt;0,C18&lt;&gt;C20),"Días intermedios, manutención completa según días con derecho a dietas",IF(AND(C2=R27,C18=C20,C18&lt;&gt;"",D18&lt;=P10,D20&gt;P12),"Manutención sin pernoctar",IF(AND(C2=R27,C18&lt;&gt;C20,C18&lt;&gt;"",D18&lt;=P10),"Para el día de salida: salida , manutención pernoctando",""))))))</f>
        <v/>
      </c>
      <c r="F19" s="1056"/>
      <c r="G19" s="1056"/>
      <c r="H19" s="1056"/>
      <c r="I19" s="1056"/>
      <c r="J19" s="275"/>
      <c r="K19" s="276" t="str">
        <f>IF(C21="","",C21-2)</f>
        <v/>
      </c>
      <c r="L19" s="276"/>
      <c r="M19" s="276"/>
      <c r="N19" s="276"/>
      <c r="O19" s="276"/>
      <c r="P19" s="277" t="s">
        <v>138</v>
      </c>
      <c r="Q19" s="276"/>
      <c r="R19" s="276"/>
      <c r="S19" s="276"/>
      <c r="T19" s="276"/>
      <c r="U19" s="243"/>
      <c r="V19" s="324" t="s">
        <v>241</v>
      </c>
      <c r="W19" s="335">
        <f>SUM(G26:G29)</f>
        <v>0</v>
      </c>
      <c r="X19" s="326"/>
      <c r="Y19" s="326"/>
      <c r="Z19" s="326"/>
      <c r="AA19" s="328" t="s">
        <v>353</v>
      </c>
      <c r="AB19" s="344" t="s">
        <v>354</v>
      </c>
      <c r="AC19" s="326" t="s">
        <v>358</v>
      </c>
      <c r="AD19" s="326"/>
      <c r="AE19" s="326"/>
      <c r="AF19" s="269"/>
      <c r="AG19" s="269"/>
      <c r="AH19" s="269"/>
      <c r="AI19" s="269"/>
      <c r="AJ19" s="269"/>
      <c r="AK19" s="242"/>
      <c r="AL19" s="242"/>
      <c r="AM19" s="627"/>
      <c r="AN19" s="628"/>
      <c r="AO19" s="629"/>
      <c r="AP19" s="627" t="s">
        <v>402</v>
      </c>
      <c r="AQ19" s="628"/>
      <c r="AR19" s="636"/>
      <c r="AS19" s="637"/>
      <c r="AT19" s="262"/>
      <c r="AU19" s="22"/>
      <c r="AV19" s="22"/>
      <c r="AW19" s="22"/>
      <c r="AX19" s="22"/>
      <c r="AY19" s="22"/>
      <c r="AZ19" s="22"/>
      <c r="BA19" s="22"/>
      <c r="BB19"/>
      <c r="BC19"/>
      <c r="BD19"/>
      <c r="BE19"/>
      <c r="BF19"/>
      <c r="BG19"/>
      <c r="BH19"/>
      <c r="BI19"/>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171"/>
      <c r="CS19" s="186"/>
      <c r="CT19" s="187"/>
      <c r="CU19" s="1027" t="str">
        <f>IF($D$75&lt;&gt;"","",IF($E$76&lt;&gt;$D$12,"",IF(OR($D$75,$B$83&lt;&gt;""),"",E19)))</f>
        <v/>
      </c>
      <c r="CV19" s="1027"/>
      <c r="CW19" s="1027"/>
      <c r="CX19" s="1027"/>
      <c r="CY19" s="1027"/>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row>
    <row r="20" spans="1:183" ht="13.8" x14ac:dyDescent="0.25">
      <c r="A20" s="10"/>
      <c r="B20" s="23" t="str">
        <f>IF(AND(C20&lt;&gt;"",D20=""),"Falta indicar la hora","Fecha fin del viaje")</f>
        <v>Fecha fin del viaje</v>
      </c>
      <c r="C20" s="120"/>
      <c r="D20" s="119"/>
      <c r="E20" s="1056" t="str">
        <f>IF(B20="Falta indicar la hora","",IF(D20="","",IF(AND(C2=M1,D20&gt;P12,C18&lt;&gt;C20,D20&lt;&gt;""),"Para el día de regreso: manutención sin pernoctar",IF(AND(C2=M1,D20&lt;=P11,C18&lt;&gt;C20),"Para el días de regreso: No corresponde manutención",IF(AND(C2=M1,C18&lt;&gt;C20,D20&gt;P11,D20&lt;=P12),"Para el día de regreso:  1/2 manutención",IF(AND(C2=M2,C20&lt;&gt;"",C18&lt;&gt;C20,D20&gt;M11),"Para el día de regreso: regreso posterior a las 22:00 H,",IF(AND(C2=M2,C20&lt;&gt;"",C18&lt;&gt;C20,D20&gt;M9),"Para el día de regreso: Regreso posterior a las 14:00 H 1/2 manutención.",IF(AND(C2=M2,C20&lt;&gt;"",C18&lt;&gt;C20,D20&lt;=M9),"Para el día de regreso no corresponde dieta",IF(AND(C2=R27,D20&gt;P12,C18&lt;&gt;C20,D20&lt;&gt;""),"Para el día de regreso: manutención sin pernoctar",IF(AND(C2=R27,D20&lt;=P11,C18&lt;&gt;C20),"Para el días de regreso: No corresponde manutención",IF(AND(C2=R27,C18&lt;&gt;C20,D20&gt;P11,D20&lt;=P12),"Para el día de regreso:  1/2 manutención","")))))))))))</f>
        <v/>
      </c>
      <c r="F20" s="1056"/>
      <c r="G20" s="1056"/>
      <c r="H20" s="1056"/>
      <c r="I20" s="1056"/>
      <c r="P20" s="277" t="s">
        <v>150</v>
      </c>
      <c r="R20" s="276" t="s">
        <v>154</v>
      </c>
      <c r="V20" s="324" t="str">
        <f>IF(W19&gt;0,"Total manutención en T. Nacional:"&amp;TEXT((W19),"#.###,00 €")&amp;" desglosado en:"&amp;V24&amp;" "&amp;" "&amp;V25&amp;" "&amp;V26&amp;" "&amp;V33,"")</f>
        <v/>
      </c>
      <c r="W20" s="326"/>
      <c r="X20" s="326"/>
      <c r="Y20" s="326"/>
      <c r="Z20" s="326"/>
      <c r="AA20" s="326"/>
      <c r="AB20" s="326"/>
      <c r="AC20" s="326"/>
      <c r="AD20" s="343"/>
      <c r="AE20" s="343"/>
      <c r="AM20" s="630"/>
      <c r="AN20" s="631"/>
      <c r="AO20" s="632"/>
      <c r="AP20" s="630" t="str">
        <f>AD12</f>
        <v xml:space="preserve">0noche a €/N </v>
      </c>
      <c r="AQ20" s="631"/>
      <c r="AR20" s="638"/>
      <c r="AS20" s="639"/>
      <c r="BB20"/>
      <c r="BC20"/>
      <c r="BD20"/>
      <c r="BE20"/>
      <c r="BF20"/>
      <c r="BG20"/>
      <c r="BH20"/>
      <c r="BI20"/>
      <c r="CR20" s="23" t="str">
        <f>IF($D$75&lt;&gt;"","",IF($E$76&lt;&gt;$D$12,"",IF($B$83&lt;&gt;"","",B20)))</f>
        <v/>
      </c>
      <c r="CS20" s="469" t="str">
        <f>IF(C20="","",IF(D75&lt;&gt;"","",IF(E76&lt;&gt;D12,"",IF(OR(D75,B83&lt;&gt;""),"",C20))))</f>
        <v/>
      </c>
      <c r="CT20" s="470" t="str">
        <f>IF(D20="","",IF(D75&lt;&gt;"","",IF(E76&lt;&gt;D12,"",IF(OR(D75,B83&lt;&gt;""),"",D20))))</f>
        <v/>
      </c>
      <c r="CU20" s="1027" t="str">
        <f>IF($D$75&lt;&gt;"","",IF($E$76&lt;&gt;$D$12,"",IF(OR($D$75,$B$83&lt;&gt;""),"",E20)))</f>
        <v/>
      </c>
      <c r="CV20" s="1027"/>
      <c r="CW20" s="1027"/>
      <c r="CX20" s="1027"/>
      <c r="CY20" s="1027"/>
    </row>
    <row r="21" spans="1:183" ht="13.8" x14ac:dyDescent="0.25">
      <c r="A21" s="10"/>
      <c r="B21" s="23" t="s">
        <v>170</v>
      </c>
      <c r="C21" s="169" t="str">
        <f>IF(OR(C18="",C20=""),"",(C20-C18)+1)</f>
        <v/>
      </c>
      <c r="D21" s="902"/>
      <c r="E21" s="1141" t="str">
        <f>IF(AND(C2=M2,C20&lt;&gt;"",C18&lt;&gt;C20,D20&gt;M11),"excepcionalmente manut. Completa, previa factura de la cena.","")</f>
        <v/>
      </c>
      <c r="F21" s="1141"/>
      <c r="G21" s="1141"/>
      <c r="H21" s="1141"/>
      <c r="I21" s="1141"/>
      <c r="P21" s="277" t="s">
        <v>141</v>
      </c>
      <c r="R21" s="276" t="s">
        <v>180</v>
      </c>
      <c r="V21" s="324" t="str">
        <f>B26</f>
        <v>1/2 manutención</v>
      </c>
      <c r="W21" s="336">
        <f>C26</f>
        <v>0</v>
      </c>
      <c r="X21" s="326" t="str">
        <f>D26</f>
        <v>día</v>
      </c>
      <c r="Y21" s="326" t="s">
        <v>259</v>
      </c>
      <c r="Z21" s="335" t="str">
        <f>E26</f>
        <v/>
      </c>
      <c r="AA21" s="326" t="str">
        <f>F26</f>
        <v>€/día</v>
      </c>
      <c r="AB21" s="335">
        <f>G26</f>
        <v>0</v>
      </c>
      <c r="AC21" s="328" t="str">
        <f>IF(AB21&lt;&gt;"","€;","")</f>
        <v>€;</v>
      </c>
      <c r="AD21" s="345" t="str">
        <f>IF(AB21&lt;&gt;0,W21&amp;" "&amp;X21&amp;" "&amp;AB19&amp;" "&amp;Y21&amp;" "&amp;Z21&amp;$AA$19&amp;" "&amp;AB21&amp;AC21,"")</f>
        <v/>
      </c>
      <c r="AE21" s="346"/>
      <c r="AF21" s="346"/>
      <c r="AG21" s="328" t="s">
        <v>354</v>
      </c>
      <c r="AM21" s="630"/>
      <c r="AN21" s="631" t="s">
        <v>385</v>
      </c>
      <c r="AO21" s="632"/>
      <c r="AP21" s="630" t="str">
        <f>AN21&amp;" "&amp;AJ13</f>
        <v xml:space="preserve">España </v>
      </c>
      <c r="AQ21" s="631"/>
      <c r="AR21" s="638"/>
      <c r="AS21" s="639"/>
      <c r="BB21"/>
      <c r="BC21"/>
      <c r="BD21"/>
      <c r="BE21"/>
      <c r="BF21"/>
      <c r="BG21"/>
      <c r="BH21"/>
      <c r="BI21"/>
      <c r="CR21" s="23" t="str">
        <f>IF($D$75&lt;&gt;"","",IF($E$76&lt;&gt;$D$12,"",IF($B$83&lt;&gt;"","",B21)))</f>
        <v/>
      </c>
      <c r="CS21" s="169" t="str">
        <f>IF(D75&lt;&gt;"","",IF(E76&lt;&gt;D12,"",IF(OR(D75,B83&lt;&gt;""),"",C21)))</f>
        <v/>
      </c>
      <c r="CT21" s="10"/>
      <c r="CU21" s="1024"/>
      <c r="CV21" s="1024"/>
      <c r="CW21" s="1024"/>
      <c r="CX21" s="1024"/>
      <c r="CY21" s="1024"/>
    </row>
    <row r="22" spans="1:183" ht="15.6" x14ac:dyDescent="0.3">
      <c r="A22" s="10"/>
      <c r="B22" s="201"/>
      <c r="C22" s="124"/>
      <c r="D22" s="43"/>
      <c r="E22" s="43"/>
      <c r="F22" s="10"/>
      <c r="G22" s="35"/>
      <c r="H22" s="36"/>
      <c r="K22" s="666">
        <f>SUM(G23:G29)</f>
        <v>0</v>
      </c>
      <c r="P22" s="277" t="s">
        <v>149</v>
      </c>
      <c r="R22" s="276" t="s">
        <v>181</v>
      </c>
      <c r="V22" s="324" t="str">
        <f t="shared" ref="V22:V23" si="7">B27</f>
        <v/>
      </c>
      <c r="W22" s="336">
        <f t="shared" ref="W22:W23" si="8">C27</f>
        <v>0</v>
      </c>
      <c r="X22" s="326" t="str">
        <f t="shared" ref="X22:X23" si="9">D27</f>
        <v>día</v>
      </c>
      <c r="Y22" s="326" t="s">
        <v>259</v>
      </c>
      <c r="Z22" s="335" t="str">
        <f t="shared" ref="Z22:Z23" si="10">E27</f>
        <v/>
      </c>
      <c r="AA22" s="326" t="str">
        <f t="shared" ref="AA22:AA23" si="11">F27</f>
        <v>€/día</v>
      </c>
      <c r="AB22" s="335" t="str">
        <f t="shared" ref="AB22:AB23" si="12">G27</f>
        <v/>
      </c>
      <c r="AC22" s="328" t="str">
        <f>IF(AB22&lt;&gt;"","€;","")</f>
        <v/>
      </c>
      <c r="AD22" s="345" t="str">
        <f t="shared" ref="AD22" si="13">IF(AB22&lt;&gt;0,W22&amp;" "&amp;X22&amp;" "&amp;Y22&amp;" "&amp;Z22&amp;$AA$19&amp;" "&amp;AB22&amp;AC22,"")</f>
        <v xml:space="preserve">0 día a €/D </v>
      </c>
      <c r="AE22" s="346"/>
      <c r="AF22" s="346"/>
      <c r="AG22" s="328" t="s">
        <v>355</v>
      </c>
      <c r="AM22" s="630"/>
      <c r="AN22" s="631"/>
      <c r="AO22" s="632"/>
      <c r="AP22" s="630" t="str">
        <f>V69&amp;" "&amp;AD38</f>
        <v xml:space="preserve"> 0 noche a €/N </v>
      </c>
      <c r="AQ22" s="631"/>
      <c r="AR22" s="638"/>
      <c r="AS22" s="639"/>
      <c r="BB22"/>
      <c r="BC22"/>
      <c r="BD22"/>
      <c r="BE22"/>
      <c r="BF22"/>
      <c r="BG22"/>
      <c r="BH22"/>
      <c r="BI22"/>
      <c r="CR22" s="201"/>
      <c r="CS22" s="124"/>
      <c r="CT22" s="43"/>
      <c r="CU22" s="43"/>
      <c r="CV22" s="10"/>
      <c r="CW22" s="10"/>
      <c r="CX22" s="6"/>
    </row>
    <row r="23" spans="1:183" ht="14.4" thickBot="1" x14ac:dyDescent="0.3">
      <c r="A23" s="10"/>
      <c r="B23" s="659" t="s">
        <v>116</v>
      </c>
      <c r="C23" s="700"/>
      <c r="D23" s="165" t="str">
        <f>IF(C23&gt;1,"noches","noche")</f>
        <v>noche</v>
      </c>
      <c r="E23" s="76" t="str">
        <f>IF(B10=K2,O7,IF(B10=K3,R8,IF(B10=K4,S8,IF(B10=R24,S24,IF(B10=R25,S25,"")))))</f>
        <v/>
      </c>
      <c r="F23" s="19" t="s">
        <v>201</v>
      </c>
      <c r="G23" s="107" t="str">
        <f>IF(E23="","",C23*E23)</f>
        <v/>
      </c>
      <c r="H23" s="6"/>
      <c r="K23" s="276" t="s">
        <v>152</v>
      </c>
      <c r="L23" s="276" t="s">
        <v>153</v>
      </c>
      <c r="P23" s="277" t="s">
        <v>139</v>
      </c>
      <c r="R23" s="276" t="s">
        <v>182</v>
      </c>
      <c r="V23" s="324" t="str">
        <f t="shared" si="7"/>
        <v>Manutención (según factura/Ticket)</v>
      </c>
      <c r="W23" s="336">
        <f t="shared" si="8"/>
        <v>0</v>
      </c>
      <c r="X23" s="326" t="str">
        <f t="shared" si="9"/>
        <v>día</v>
      </c>
      <c r="Y23" s="326" t="s">
        <v>259</v>
      </c>
      <c r="Z23" s="335">
        <f t="shared" si="10"/>
        <v>0</v>
      </c>
      <c r="AA23" s="326" t="str">
        <f t="shared" si="11"/>
        <v>€/día</v>
      </c>
      <c r="AB23" s="335">
        <f t="shared" si="12"/>
        <v>0</v>
      </c>
      <c r="AC23" s="328" t="str">
        <f>IF(AB23&lt;&gt;"","€;","")</f>
        <v>€;</v>
      </c>
      <c r="AD23" s="345" t="str">
        <f>IF(AB23&lt;&gt;0,W23&amp;" "&amp;X23&amp;" "&amp;Y23&amp;" "&amp;Z23&amp;$AA$19&amp;" "&amp;AB23&amp;AC23,"")</f>
        <v/>
      </c>
      <c r="AE23" s="346"/>
      <c r="AF23" s="346"/>
      <c r="AG23" s="328" t="s">
        <v>356</v>
      </c>
      <c r="AM23" s="633"/>
      <c r="AN23" s="634"/>
      <c r="AO23" s="635"/>
      <c r="AP23" s="633" t="str">
        <f>V69&amp; " "&amp;AI39</f>
        <v xml:space="preserve"> </v>
      </c>
      <c r="AQ23" s="634"/>
      <c r="AR23" s="640"/>
      <c r="AS23" s="641"/>
      <c r="BB23"/>
      <c r="BC23"/>
      <c r="BD23"/>
      <c r="BE23"/>
      <c r="BF23"/>
      <c r="BG23"/>
      <c r="BH23"/>
      <c r="BI23"/>
      <c r="CR23" s="442" t="str">
        <f t="shared" ref="CR23:CR29" si="14">IF($D$75&lt;&gt;"","",IF($E$76&lt;&gt;$D$12,"",IF($B$83&lt;&gt;"","",B23)))</f>
        <v/>
      </c>
      <c r="CS23" s="471" t="str">
        <f t="shared" ref="CS23:CS29" si="15">IF($D$75&lt;&gt;"","",IF($E$76&lt;&gt;$D$12,"",IF(C23="","",IF(OR($D$75,$B$83&lt;&gt;""),"",C23))))</f>
        <v/>
      </c>
      <c r="CT23" s="165" t="str">
        <f t="shared" ref="CT23:CW29" si="16">IF($D$75&lt;&gt;"","",IF($E$76&lt;&gt;$D$12,"",IF(OR($D$75,$B$83&lt;&gt;""),"",D23)))</f>
        <v/>
      </c>
      <c r="CU23" s="76" t="str">
        <f t="shared" si="16"/>
        <v/>
      </c>
      <c r="CV23" s="19" t="str">
        <f t="shared" si="16"/>
        <v/>
      </c>
      <c r="CW23" s="107" t="str">
        <f t="shared" si="16"/>
        <v/>
      </c>
      <c r="CX23" s="6"/>
    </row>
    <row r="24" spans="1:183" ht="15" thickTop="1" thickBot="1" x14ac:dyDescent="0.3">
      <c r="A24" s="10"/>
      <c r="B24" s="659" t="s">
        <v>105</v>
      </c>
      <c r="C24" s="700"/>
      <c r="D24" s="165" t="str">
        <f t="shared" ref="D24:D25" si="17">IF(C24&gt;1,"noches","noche")</f>
        <v>noche</v>
      </c>
      <c r="E24" s="64">
        <f>IF(C24="",0,G24/C24)</f>
        <v>0</v>
      </c>
      <c r="F24" s="19" t="s">
        <v>201</v>
      </c>
      <c r="G24" s="174">
        <v>0</v>
      </c>
      <c r="H24" s="1148" t="str">
        <f>IF(AND(C24="",G24&gt;0),"Falta indicar las noches",IF(L24="","",IF(L24&gt;0,"Supera el Decreto en"&amp;TEXT((L24)," #.##0,00 €"),"")))</f>
        <v/>
      </c>
      <c r="I24" s="1148"/>
      <c r="K24" s="283" t="str">
        <f>IF(E23="","",C24*E23)</f>
        <v/>
      </c>
      <c r="L24" s="284" t="str">
        <f>IF(K24="","",G24-K24)</f>
        <v/>
      </c>
      <c r="P24" s="277" t="s">
        <v>140</v>
      </c>
      <c r="R24" s="276" t="s">
        <v>684</v>
      </c>
      <c r="S24" s="276">
        <v>90</v>
      </c>
      <c r="V24" s="943" t="str">
        <f>IF(AB21&lt;&gt;0,V21 &amp; " " &amp; W21 &amp;" " &amp; X21 &amp;" " &amp; Y21 &amp; " "&amp; Z21  &amp; " "&amp; AA21  &amp; " "&amp; AB21&amp;AC21,"")</f>
        <v/>
      </c>
      <c r="W24" s="944"/>
      <c r="X24" s="944"/>
      <c r="Y24" s="944"/>
      <c r="Z24" s="944"/>
      <c r="AA24" s="944"/>
      <c r="AB24" s="945"/>
      <c r="AC24" s="326"/>
      <c r="AD24" s="345" t="str">
        <f>IF(B10="Ministerio","",IF(AB32&lt;&gt;0,W32&amp;" "&amp;X32&amp;" "&amp;Y32&amp;" "&amp;Z32&amp;AA19&amp;" "&amp;AB32&amp;AC32,""))</f>
        <v>0  a €/D €;</v>
      </c>
      <c r="AE24" s="346"/>
      <c r="AF24" s="346"/>
      <c r="AG24" s="328" t="s">
        <v>357</v>
      </c>
      <c r="AM24" s="626"/>
      <c r="AN24" s="626"/>
      <c r="AO24" s="626"/>
      <c r="AP24" s="633" t="str">
        <f>V69&amp; " "&amp;AD38</f>
        <v xml:space="preserve"> 0 noche a €/N </v>
      </c>
      <c r="AQ24" s="626"/>
      <c r="AR24" s="260"/>
      <c r="AS24" s="260"/>
      <c r="BB24"/>
      <c r="BC24"/>
      <c r="BD24"/>
      <c r="BE24"/>
      <c r="BF24"/>
      <c r="BG24"/>
      <c r="BH24"/>
      <c r="BI24"/>
      <c r="CR24" s="442" t="str">
        <f t="shared" si="14"/>
        <v/>
      </c>
      <c r="CS24" s="471" t="str">
        <f t="shared" si="15"/>
        <v/>
      </c>
      <c r="CT24" s="165" t="str">
        <f t="shared" si="16"/>
        <v/>
      </c>
      <c r="CU24" s="76" t="str">
        <f t="shared" si="16"/>
        <v/>
      </c>
      <c r="CV24" s="19" t="str">
        <f t="shared" si="16"/>
        <v/>
      </c>
      <c r="CW24" s="107" t="str">
        <f t="shared" si="16"/>
        <v/>
      </c>
      <c r="CX24" s="1029" t="str">
        <f>IF(D75&lt;&gt;"","",IF(E76&lt;&gt;D12,"",IF(OR($D$75,$B$83&lt;&gt;""),"",H24)))</f>
        <v/>
      </c>
      <c r="CY24" s="1029"/>
    </row>
    <row r="25" spans="1:183" ht="14.4" thickTop="1" x14ac:dyDescent="0.25">
      <c r="A25" s="10"/>
      <c r="B25" s="660" t="s">
        <v>284</v>
      </c>
      <c r="C25" s="700"/>
      <c r="D25" s="165" t="str">
        <f t="shared" si="17"/>
        <v>noche</v>
      </c>
      <c r="E25" s="217">
        <f>IF(C25="",0,G25/C25)</f>
        <v>0</v>
      </c>
      <c r="F25" s="19" t="s">
        <v>201</v>
      </c>
      <c r="G25" s="152">
        <v>0</v>
      </c>
      <c r="H25" s="1144" t="str">
        <f>IF(AND(C25="",G25&gt;0),"Falta indicar las noches",IF(L25="","",IF(L25&gt;0,"Supera el Decreto en"&amp;TEXT((L25)," #.##0,00 €"),M25)))</f>
        <v/>
      </c>
      <c r="I25" s="1145"/>
      <c r="K25" s="285" t="str">
        <f>IF(E23="","",C25*E23)</f>
        <v/>
      </c>
      <c r="L25" s="284" t="str">
        <f>IF(K25="","",G25-K25)</f>
        <v/>
      </c>
      <c r="M25" s="276" t="s">
        <v>128</v>
      </c>
      <c r="P25" s="277" t="s">
        <v>136</v>
      </c>
      <c r="R25" s="276" t="s">
        <v>685</v>
      </c>
      <c r="S25" s="276">
        <v>120</v>
      </c>
      <c r="V25" s="943" t="str">
        <f>IF(AB22&lt;&gt;0,V22 &amp; " " &amp; W22 &amp;" " &amp; X22 &amp;" " &amp; Y22 &amp; " "&amp; Z22  &amp; " "&amp; AA22  &amp; " "&amp; AB22&amp;AC22,"")</f>
        <v xml:space="preserve"> 0 día a  €/día </v>
      </c>
      <c r="W25" s="944"/>
      <c r="X25" s="944"/>
      <c r="Y25" s="944"/>
      <c r="Z25" s="944"/>
      <c r="AA25" s="944"/>
      <c r="AB25" s="945"/>
      <c r="AC25" s="326"/>
      <c r="AD25" s="921" t="str">
        <f>IF(W19&lt;&gt;0,AC19&amp;" "&amp;AD21&amp;" "&amp;AD22&amp;" "&amp;AD23&amp;" "&amp;AD24,"")</f>
        <v/>
      </c>
      <c r="AE25" s="940"/>
      <c r="AF25" s="940"/>
      <c r="AG25" s="922"/>
      <c r="AM25" s="627" t="s">
        <v>400</v>
      </c>
      <c r="AN25" s="628"/>
      <c r="AO25" s="628"/>
      <c r="AP25" s="628"/>
      <c r="AQ25" s="628"/>
      <c r="AR25" s="636"/>
      <c r="AS25" s="637"/>
      <c r="CR25" s="442" t="str">
        <f t="shared" si="14"/>
        <v/>
      </c>
      <c r="CS25" s="471" t="str">
        <f t="shared" si="15"/>
        <v/>
      </c>
      <c r="CT25" s="165" t="str">
        <f t="shared" si="16"/>
        <v/>
      </c>
      <c r="CU25" s="76" t="str">
        <f t="shared" si="16"/>
        <v/>
      </c>
      <c r="CV25" s="19" t="str">
        <f t="shared" si="16"/>
        <v/>
      </c>
      <c r="CW25" s="107" t="str">
        <f t="shared" si="16"/>
        <v/>
      </c>
      <c r="CX25" s="1029" t="str">
        <f>IF(D75&lt;&gt;"","",IF(E76&lt;&gt;D12,"",IF(OR(D75,B83&lt;&gt;""),"",H25)))</f>
        <v/>
      </c>
      <c r="CY25" s="1029"/>
    </row>
    <row r="26" spans="1:183" ht="13.8" x14ac:dyDescent="0.25">
      <c r="A26" s="10"/>
      <c r="B26" s="664" t="s">
        <v>0</v>
      </c>
      <c r="C26" s="700"/>
      <c r="D26" s="165" t="str">
        <f>IF(C26&gt;1,"días","día")</f>
        <v>día</v>
      </c>
      <c r="E26" s="77" t="str">
        <f>IF(B10=K2,O6,IF(B10=K3,R7,IF(B10=R24,R7,IF(B10=R25,S7,IF(B10=K4,S7,"")))))</f>
        <v/>
      </c>
      <c r="F26" s="19" t="s">
        <v>200</v>
      </c>
      <c r="G26" s="105">
        <f>IF(AND(C26&gt;0,B10=K1),0,IF(C26="",0,C26*E26))</f>
        <v>0</v>
      </c>
      <c r="H26" s="1146" t="s">
        <v>687</v>
      </c>
      <c r="I26" s="1147"/>
      <c r="P26" s="277" t="s">
        <v>151</v>
      </c>
      <c r="V26" s="943" t="str">
        <f>IF(AB23&lt;&gt;0,V23 &amp; " " &amp; W23 &amp;" " &amp; X23 &amp;" " &amp; Y23 &amp; " "&amp; Z23  &amp; " "&amp; AA23  &amp; " "&amp; AB23&amp;AC23,"")</f>
        <v/>
      </c>
      <c r="W26" s="944"/>
      <c r="X26" s="944"/>
      <c r="Y26" s="944"/>
      <c r="Z26" s="944"/>
      <c r="AA26" s="944"/>
      <c r="AB26" s="945"/>
      <c r="AC26" s="326"/>
      <c r="AD26" s="921"/>
      <c r="AE26" s="940"/>
      <c r="AF26" s="940"/>
      <c r="AG26" s="922"/>
      <c r="AM26" s="630"/>
      <c r="AN26" s="631"/>
      <c r="AO26" s="631"/>
      <c r="AP26" s="631"/>
      <c r="AQ26" s="631"/>
      <c r="AR26" s="638"/>
      <c r="AS26" s="639"/>
      <c r="CR26" s="442" t="str">
        <f t="shared" si="14"/>
        <v/>
      </c>
      <c r="CS26" s="471" t="str">
        <f t="shared" si="15"/>
        <v/>
      </c>
      <c r="CT26" s="165" t="str">
        <f t="shared" si="16"/>
        <v/>
      </c>
      <c r="CU26" s="76" t="str">
        <f t="shared" si="16"/>
        <v/>
      </c>
      <c r="CV26" s="19" t="str">
        <f t="shared" si="16"/>
        <v/>
      </c>
      <c r="CW26" s="107" t="str">
        <f t="shared" si="16"/>
        <v/>
      </c>
      <c r="CX26" s="1032" t="str">
        <f>IF(D75&lt;&gt;"","",IF(E76&lt;&gt;D12,"",IF(OR(D75,B83&lt;&gt;""),"",H26)))</f>
        <v/>
      </c>
      <c r="CY26" s="1032"/>
    </row>
    <row r="27" spans="1:183" ht="13.8" x14ac:dyDescent="0.25">
      <c r="A27" s="10"/>
      <c r="B27" s="665" t="str">
        <f>IF(B10=K2,M5,IF(B10=K3,P5,IF(B10=R24,P5,IF(B10=R25,P5,IF(B10=K4,P5,"")))))</f>
        <v/>
      </c>
      <c r="C27" s="700"/>
      <c r="D27" s="165" t="str">
        <f t="shared" ref="D27:D28" si="18">IF(C27&gt;1,"días","día")</f>
        <v>día</v>
      </c>
      <c r="E27" s="64" t="str">
        <f>IF(B27="","",IF(B27=M5,O5,IF(AND(B10=R24,B27=P5),R5,IF(AND(B10=R25,B27=P5),S5,IF(B27=R7,O5,IF(AND(B10=R7,B27=P5),R5,IF(AND(B10=K3,B27=P5),R5,IF(AND(B10=R7,B27=P5),R5,IF(AND(B10=K4,B27=P5),S5,"")))))))))</f>
        <v/>
      </c>
      <c r="F27" s="19" t="s">
        <v>200</v>
      </c>
      <c r="G27" s="108" t="str">
        <f>IF(B27="","",IF(C27="",0,C27*E27))</f>
        <v/>
      </c>
      <c r="H27" s="1115"/>
      <c r="I27" s="1115"/>
      <c r="R27" s="276" t="s">
        <v>686</v>
      </c>
      <c r="V27" s="276" t="s">
        <v>277</v>
      </c>
      <c r="W27" s="272" t="str">
        <f>IF(C18="","",C18)</f>
        <v/>
      </c>
      <c r="X27" s="269" t="s">
        <v>290</v>
      </c>
      <c r="Z27" s="272" t="str">
        <f>IF(C33="","",C33)</f>
        <v/>
      </c>
      <c r="AM27" s="630" t="str">
        <f>AN21&amp;" "&amp;AM15</f>
        <v xml:space="preserve">España </v>
      </c>
      <c r="AN27" s="631"/>
      <c r="AO27" s="631"/>
      <c r="AP27" s="631"/>
      <c r="AQ27" s="631"/>
      <c r="AR27" s="638"/>
      <c r="AS27" s="639"/>
      <c r="CR27" s="442" t="str">
        <f t="shared" si="14"/>
        <v/>
      </c>
      <c r="CS27" s="692" t="str">
        <f t="shared" si="15"/>
        <v/>
      </c>
      <c r="CT27" s="165" t="str">
        <f t="shared" si="16"/>
        <v/>
      </c>
      <c r="CU27" s="76" t="str">
        <f t="shared" si="16"/>
        <v/>
      </c>
      <c r="CV27" s="19" t="str">
        <f t="shared" si="16"/>
        <v/>
      </c>
      <c r="CW27" s="107" t="str">
        <f t="shared" si="16"/>
        <v/>
      </c>
      <c r="CX27" s="1031"/>
      <c r="CY27" s="1031"/>
    </row>
    <row r="28" spans="1:183" ht="14.4" thickBot="1" x14ac:dyDescent="0.3">
      <c r="A28" s="10"/>
      <c r="B28" s="664" t="s">
        <v>122</v>
      </c>
      <c r="C28" s="700"/>
      <c r="D28" s="165" t="str">
        <f t="shared" si="18"/>
        <v>día</v>
      </c>
      <c r="E28" s="64">
        <f>IF(C28="",0,G28/C28)</f>
        <v>0</v>
      </c>
      <c r="F28" s="19" t="s">
        <v>200</v>
      </c>
      <c r="G28" s="106">
        <v>0</v>
      </c>
      <c r="H28" s="1116" t="str">
        <f>IF(AND(C28="",G28&gt;0),"Falta indicar los días",IF(L28="","",IF(L28&gt;0,"Supera el Decreto en"&amp;TEXT((L28)," #.##0,00 €"),"")))</f>
        <v/>
      </c>
      <c r="I28" s="1116"/>
      <c r="K28" s="279" t="str">
        <f>IF(C28="","",IF(B10=K2,O5*C28,IF(OR(B10=K3,B10=R24),R5*C28,IF(OR(B10=K4,B10=R25),S5*C28,""))))</f>
        <v/>
      </c>
      <c r="L28" s="279" t="str">
        <f>IF(K28="","",G28-K28)</f>
        <v/>
      </c>
      <c r="V28" s="276" t="s">
        <v>278</v>
      </c>
      <c r="W28" s="272" t="str">
        <f>IF(C20="","",C20)</f>
        <v/>
      </c>
      <c r="X28" s="269" t="s">
        <v>289</v>
      </c>
      <c r="Z28" s="272" t="str">
        <f>IF(C35="","",C35)</f>
        <v/>
      </c>
      <c r="AM28" s="633" t="str">
        <f>V69&amp;" "&amp;AM41</f>
        <v xml:space="preserve"> </v>
      </c>
      <c r="AN28" s="634"/>
      <c r="AO28" s="634"/>
      <c r="AP28" s="634"/>
      <c r="AQ28" s="634"/>
      <c r="AR28" s="640"/>
      <c r="AS28" s="641"/>
      <c r="CR28" s="442" t="str">
        <f t="shared" si="14"/>
        <v/>
      </c>
      <c r="CS28" s="692" t="str">
        <f t="shared" si="15"/>
        <v/>
      </c>
      <c r="CT28" s="165" t="str">
        <f t="shared" si="16"/>
        <v/>
      </c>
      <c r="CU28" s="76" t="str">
        <f t="shared" si="16"/>
        <v/>
      </c>
      <c r="CV28" s="19" t="str">
        <f t="shared" si="16"/>
        <v/>
      </c>
      <c r="CW28" s="107" t="str">
        <f t="shared" si="16"/>
        <v/>
      </c>
      <c r="CX28" s="1024" t="str">
        <f>IF(D75&lt;&gt;"","",IF(E76&lt;&gt;D12,"",IF(OR(D75,B83&lt;&gt;""),"",H28)))</f>
        <v/>
      </c>
      <c r="CY28" s="1024"/>
    </row>
    <row r="29" spans="1:183" ht="14.4" thickTop="1" x14ac:dyDescent="0.25">
      <c r="A29" s="10"/>
      <c r="B29" s="664" t="str">
        <f>IF(OR(B10=K3,B10=K4,B10=R24,B10=R25),P6,"")</f>
        <v/>
      </c>
      <c r="C29" s="700"/>
      <c r="D29" s="165" t="str">
        <f>IF(B29="","",IF(C29&gt;1,"días","día"))</f>
        <v/>
      </c>
      <c r="E29" s="76" t="str">
        <f>IF(B29=P6,R6,"")</f>
        <v/>
      </c>
      <c r="F29" s="19" t="str">
        <f>IF(B29="","","€/día")</f>
        <v/>
      </c>
      <c r="G29" s="77" t="str">
        <f>IF(B29="","",C29*E29)</f>
        <v/>
      </c>
      <c r="V29" s="320" t="str">
        <f>X27&amp; " "&amp;TEXT(W27,"dd-mm-aa")&amp;" al  "&amp;TEXT(W28,"dd-mm-aa")&amp;"   -T. Extranjero  del  "&amp;TEXT(Z27,"dd-mm-aa")&amp;" al "&amp;TEXT(Z28,"dd-mm-aa")</f>
        <v xml:space="preserve">T. Nacional del  al     -T. Extranjero  del   al </v>
      </c>
      <c r="AM29" s="626"/>
      <c r="AN29" s="626"/>
      <c r="AO29" s="626"/>
      <c r="AP29" s="626"/>
      <c r="AQ29" s="626"/>
      <c r="AR29" s="260"/>
      <c r="AS29" s="260"/>
      <c r="CR29" s="442" t="str">
        <f t="shared" si="14"/>
        <v/>
      </c>
      <c r="CS29" s="689" t="str">
        <f t="shared" si="15"/>
        <v/>
      </c>
      <c r="CT29" s="165" t="str">
        <f t="shared" si="16"/>
        <v/>
      </c>
      <c r="CU29" s="76" t="str">
        <f t="shared" si="16"/>
        <v/>
      </c>
      <c r="CV29" s="19" t="str">
        <f t="shared" si="16"/>
        <v/>
      </c>
      <c r="CW29" s="107" t="str">
        <f t="shared" si="16"/>
        <v/>
      </c>
    </row>
    <row r="30" spans="1:183" ht="13.65" customHeight="1" x14ac:dyDescent="0.25">
      <c r="B30" s="1114" t="str">
        <f>IF(E76&lt;&gt;D12,"",IF(D75&lt;&gt;"","",IF(B10&lt;&gt;0,"Total dietas en T.Nacional desglosado en manutención "&amp;TEXT((L30),"#.###,00 €")&amp;" alojamiento "&amp;TEXT(N30,"#.###,00 €"),"")))</f>
        <v/>
      </c>
      <c r="C30" s="1114"/>
      <c r="D30" s="1114"/>
      <c r="E30" s="1114"/>
      <c r="F30" s="1114"/>
      <c r="G30" s="1149" t="str">
        <f>IF(E76&lt;&gt;D12,"",IF(B10=K1,0,IF(OR(H24="Falta indicar las noches",H25="Falta indicar las noches",H28="Falta indicar los días"),0,SUM(G23:G29))))</f>
        <v/>
      </c>
      <c r="H30" s="1149"/>
      <c r="K30" s="276" t="s">
        <v>241</v>
      </c>
      <c r="L30" s="285">
        <f>SUM(G26:G29)</f>
        <v>0</v>
      </c>
      <c r="M30" s="286" t="s">
        <v>242</v>
      </c>
      <c r="N30" s="285">
        <f>SUM(G23:G25)</f>
        <v>0</v>
      </c>
      <c r="V30" s="276" t="s">
        <v>279</v>
      </c>
      <c r="W30" s="272">
        <f>D16</f>
        <v>0</v>
      </c>
      <c r="AM30" s="626"/>
      <c r="AN30" s="626"/>
      <c r="AO30" s="626"/>
      <c r="AP30" s="626"/>
      <c r="AQ30" s="626"/>
      <c r="AR30" s="260"/>
      <c r="AS30" s="260"/>
      <c r="CR30" s="1020" t="str">
        <f>IF(D75&lt;&gt;"","",IF(E76&lt;&gt;D12,"",IF(OR(D75,B83&lt;&gt;""),"",B30)))</f>
        <v/>
      </c>
      <c r="CS30" s="1020"/>
      <c r="CT30" s="1020"/>
      <c r="CU30" s="1020"/>
      <c r="CV30" s="1020"/>
      <c r="CW30" s="1021" t="str">
        <f>IF(D75&lt;&gt;"","",IF(E76&lt;&gt;D12,"",IF(OR(D75,B83&lt;&gt;""),"",G30)))</f>
        <v/>
      </c>
      <c r="CX30" s="1021"/>
    </row>
    <row r="31" spans="1:183" x14ac:dyDescent="0.25">
      <c r="B31" s="138"/>
      <c r="C31" s="137"/>
      <c r="D31" s="138"/>
      <c r="E31" s="138"/>
      <c r="F31" s="138"/>
      <c r="G31" s="138"/>
      <c r="V31" s="276" t="str">
        <f>TEXT(W30,"dd-mm-aa")&amp;" / "&amp;TEXT(W31,"dd-mm-aa")</f>
        <v>00-01-00 / 00-01-00</v>
      </c>
      <c r="W31" s="272">
        <f>F16</f>
        <v>0</v>
      </c>
      <c r="AM31" s="626"/>
      <c r="AN31" s="626"/>
      <c r="AO31" s="626"/>
      <c r="AP31" s="626"/>
      <c r="AQ31" s="626"/>
      <c r="AR31" s="260"/>
      <c r="AS31" s="260"/>
      <c r="CR31" s="472"/>
      <c r="CS31" s="473"/>
      <c r="CT31" s="472"/>
      <c r="CU31" s="472"/>
      <c r="CV31" s="472"/>
      <c r="CW31" s="472"/>
    </row>
    <row r="32" spans="1:183" ht="15.6" x14ac:dyDescent="0.3">
      <c r="B32" s="87" t="str">
        <f>IF(B10=K11,"","Dietas Territorio Extranjero")</f>
        <v>Dietas Territorio Extranjero</v>
      </c>
      <c r="C32" s="23"/>
      <c r="D32" s="166"/>
      <c r="E32" s="115"/>
      <c r="F32" s="1055" t="str">
        <f>IF(D73&lt;&gt;"","",IF(J33&lt;1,"",IF(D73&lt;&gt;"","",IF(J33="","",IF(AND(C36&lt;&gt;"",D73="",J33&gt;0,C33&lt;&gt;C35),"Días intermedios, manutención pernoctando, según días con derecho a dietas","")))))</f>
        <v/>
      </c>
      <c r="G32" s="1055"/>
      <c r="H32" s="1055"/>
      <c r="I32" s="1055"/>
      <c r="J32" s="276"/>
      <c r="K32" s="287" t="str">
        <f>IF(B10&lt;&gt;0,"Total de dietas en T.Nacional desglosado en manutención "&amp;TEXT((L30),"#.###,00 €")&amp;" alojamiento "&amp;TEXT(N30,"#.###,00 €"),"")</f>
        <v>Total de dietas en T.Nacional desglosado en manutención ,00 € alojamiento ,00 €</v>
      </c>
      <c r="V32" s="276" t="str">
        <f>B29</f>
        <v/>
      </c>
      <c r="W32" s="334">
        <f>C29</f>
        <v>0</v>
      </c>
      <c r="X32" s="277" t="str">
        <f>D29</f>
        <v/>
      </c>
      <c r="Y32" s="277" t="s">
        <v>259</v>
      </c>
      <c r="Z32" s="333" t="str">
        <f>E29</f>
        <v/>
      </c>
      <c r="AA32" s="277" t="str">
        <f>F29</f>
        <v/>
      </c>
      <c r="AB32" s="333" t="str">
        <f>G29</f>
        <v/>
      </c>
      <c r="AC32" s="277" t="s">
        <v>349</v>
      </c>
      <c r="CR32" s="463" t="str">
        <f>IF($D$75&lt;&gt;"","",IF($E$76&lt;&gt;$D$12,"",IF(OR($D$75,$B$83&lt;&gt;""),"",B32)))</f>
        <v/>
      </c>
      <c r="CS32" s="23"/>
      <c r="CT32" s="166"/>
      <c r="CU32" s="166"/>
      <c r="CV32" s="1027"/>
      <c r="CW32" s="1027"/>
      <c r="CX32" s="1027"/>
      <c r="CY32" s="1033"/>
    </row>
    <row r="33" spans="2:183" ht="13.8" x14ac:dyDescent="0.25">
      <c r="B33" s="23" t="s">
        <v>688</v>
      </c>
      <c r="C33" s="121"/>
      <c r="D33" s="134" t="s">
        <v>165</v>
      </c>
      <c r="E33" s="119"/>
      <c r="F33" s="1056" t="str">
        <f>IF(AND(C33&lt;&gt;"",E33=""),"Falta indicar la hora",IF(AND(C2=M1,C33=C35,C33&lt;&gt;"",E33&gt;P10,E35&lt;=P12),"No corresponde dietas",IF(AND(C2=M1,C33=C35,C33&lt;&gt;"",E33&lt;=P10,E35&gt;P12),"Manutención sin pernoctar",IF(AND(C2=M1,C33=C35,C33&lt;&gt;"",E33&gt;P10,E35&gt;P12),"1/2 Manutención",IF(AND(C2=M1,C33=C35,C33&lt;&gt;"",E33&lt;=P10,E35&lt;=P11),"No corresponde dietas",IF(AND(C2=M1,C33=C35,C33&lt;&gt;"",E33&lt;=P10,E35&gt;P11,E35&lt;=P12),"1/2 Manutención",IF(AND(C2=M1,C33&lt;&gt;C35,C33&lt;&gt;"",E33&lt;=P10),"Para el día de salida: salida , manutención pernoctando",IF(AND(C2=M1,C33&lt;&gt;C35,C33&lt;&gt;"",E33&gt;P12),"Para el día de salida: No corresponde manutención",IF(AND(C2=M1,C33&lt;&gt;C35,C33&lt;&gt;"",E33&gt;P10),"Para el día de salida: salida 1/2 manutención",IF(AND(C2=M2,C33&lt;&gt;"",C33=C35,E33&lt;=M9,E35&gt;M10,M40&gt;=N9),"Sólo le corresponde 1/2 manutención",IF(AND(C2=M2,C33&lt;&gt;"",C33&lt;&gt;C35,E33&lt;=M9),"Para el día de salida: Manute. Completa",IF(AND(C2=M2,C33&lt;&gt;"",C33&lt;&gt;C35,E33&gt;M9,E33&lt;=M11),"Para el día de salida:1/2 manutención",IF(AND(C2=M2,C33&lt;&gt;"",C33&lt;&gt;C35,E33&gt;=M11),"Para el día de salida no corresponde dieta",IF(AND(OR(E33&gt;=M9,E35&lt;=M10,M40&lt;N9),C2=M2,C33&lt;&gt;"",C33=C35),"No le corresponde dietas",IF(AND(C2=R27,C33=C35,C33&lt;&gt;"",E33&gt;P10,E35&lt;=P12),"No corresponde dietas",IF(AND(C2=R27,C33=C35,C33&lt;&gt;"",E33&lt;=P10,E35&gt;P12),"Manutención sin pernoctar",IF(AND(C2=R27,C33=C35,C33&lt;&gt;"",E33&gt;P10,E35&gt;P12),"1/2 Manutención",IF(AND(C2=R27,C33=C35,C33&lt;&gt;"",E33&lt;=P10,E35&lt;=P11),"No corresponde dietas",IF(AND(C2=R27,C33=C35,C33&lt;&gt;"",E33&lt;=P10,E35&gt;P11,E35&lt;=P12),"1/2 Manutención",IF(AND(C2=R27,C33&lt;&gt;C35,C33&lt;&gt;"",E33&lt;=P10),"Para el día de salida: salida , manutención pernoctando",IF(AND(C2=R27,C33&lt;&gt;C35,C33&lt;&gt;"",E33&gt;P12),"Para el día de salida: No corresponde manutención",IF(AND(C2=R27,C33&lt;&gt;C35,C33&lt;&gt;"",E33&gt;P10),"Para el día de salida: salida 1/2 manutención",""))))))))))))))))))))))</f>
        <v/>
      </c>
      <c r="G33" s="1056"/>
      <c r="H33" s="1056"/>
      <c r="I33" s="1056"/>
      <c r="K33" s="276" t="s">
        <v>158</v>
      </c>
      <c r="V33" s="1047" t="str">
        <f>IF(OR(AB32="",AB32=0),"",V32 &amp; " " &amp; W32 &amp;" " &amp;X32 &amp;" " &amp; Y32 &amp; " "&amp; Z32 &amp; " "&amp; AA32  &amp; " "&amp; AB32&amp;AC32)</f>
        <v/>
      </c>
      <c r="W33" s="1047"/>
      <c r="X33" s="1047"/>
      <c r="Y33" s="1047"/>
      <c r="Z33" s="1047"/>
      <c r="AA33" s="1047"/>
      <c r="AB33" s="1047"/>
      <c r="AC33" s="1047"/>
      <c r="CR33" s="23" t="str">
        <f>IF(D75&lt;&gt;"","",IF($E$76&lt;&gt;$D$12,"",IF(OR($D$75,$B$83&lt;&gt;""),"",B33)))</f>
        <v/>
      </c>
      <c r="CS33" s="474" t="str">
        <f>IF(C33="","",IF(D75&lt;&gt;"","",IF($E$76&lt;&gt;$D$12,"",IF(OR($D$75,$B$83&lt;&gt;""),"",C33))))</f>
        <v/>
      </c>
      <c r="CT33" s="134"/>
      <c r="CU33" s="470" t="str">
        <f>IF(E33="","",IF(D75&lt;&gt;"","",IF($E$76&lt;&gt;$D$12,"",IF(OR($D$75,$B$83&lt;&gt;""),"",E33))))</f>
        <v/>
      </c>
      <c r="CV33" s="1027" t="str">
        <f>IF($E$76&lt;&gt;$D$12,"",IF(OR($D$75,$B$83&lt;&gt;""),"",F33))</f>
        <v/>
      </c>
      <c r="CW33" s="1027"/>
      <c r="CX33" s="1027"/>
      <c r="CY33" s="1027"/>
    </row>
    <row r="34" spans="2:183" s="170" customFormat="1" ht="13.8" x14ac:dyDescent="0.25">
      <c r="B34" s="23"/>
      <c r="C34" s="231"/>
      <c r="D34" s="134"/>
      <c r="E34" s="187"/>
      <c r="F34" s="1056" t="str">
        <f>IF(B10=K1,"",IF(K34&lt;1,"",IF(K34="","",IF(AND(C36&lt;&gt;"",K34&gt;0,C33&lt;&gt;C35),"Días intermedios, manutención completa según días con derecho a dietas",""))))</f>
        <v/>
      </c>
      <c r="G34" s="1056"/>
      <c r="H34" s="1056"/>
      <c r="I34" s="1056"/>
      <c r="J34" s="275"/>
      <c r="K34" s="276" t="str">
        <f>IF(C36="","",C36-2)</f>
        <v/>
      </c>
      <c r="L34" s="276"/>
      <c r="M34" s="276"/>
      <c r="N34" s="276"/>
      <c r="O34" s="276"/>
      <c r="P34" s="276"/>
      <c r="Q34" s="276"/>
      <c r="R34" s="285"/>
      <c r="S34" s="276"/>
      <c r="T34" s="276"/>
      <c r="U34" s="243"/>
      <c r="V34" s="276"/>
      <c r="W34" s="277"/>
      <c r="X34" s="277"/>
      <c r="Y34" s="277"/>
      <c r="Z34" s="277"/>
      <c r="AA34" s="277"/>
      <c r="AB34" s="277"/>
      <c r="AC34" s="277"/>
      <c r="AD34" s="269"/>
      <c r="AE34" s="269"/>
      <c r="AF34" s="269"/>
      <c r="AG34" s="269"/>
      <c r="AH34" s="269"/>
      <c r="AI34" s="269"/>
      <c r="AJ34" s="269"/>
      <c r="AK34" s="242"/>
      <c r="AL34" s="242"/>
      <c r="AM34" s="242"/>
      <c r="AN34" s="242"/>
      <c r="AO34" s="242"/>
      <c r="AP34" s="242"/>
      <c r="AQ34" s="242"/>
      <c r="AR34" s="262"/>
      <c r="AS34" s="262"/>
      <c r="AT34" s="26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3"/>
      <c r="CS34" s="231"/>
      <c r="CT34" s="134"/>
      <c r="CU34" s="187"/>
      <c r="CV34" s="1027" t="str">
        <f>IF($E$76&lt;&gt;$D$12,"",IF(OR($D$75,$B$83&lt;&gt;""),"",F34))</f>
        <v/>
      </c>
      <c r="CW34" s="1027"/>
      <c r="CX34" s="1027"/>
      <c r="CY34" s="1027"/>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row>
    <row r="35" spans="2:183" ht="13.65" customHeight="1" x14ac:dyDescent="0.25">
      <c r="B35" s="23" t="s">
        <v>689</v>
      </c>
      <c r="C35" s="120"/>
      <c r="D35" s="134" t="s">
        <v>165</v>
      </c>
      <c r="E35" s="119"/>
      <c r="F35" s="1056" t="str">
        <f>IF(AND(C35&lt;&gt;"",E35=""),"Falta indicar la hora",IF(AND(C2=M1,E35&gt;P12,C33&lt;&gt;C35,E35&lt;&gt;""),"Para el día de regreso: manutención sin pernoctar",IF(AND(C2=M1,E35&gt;P11,E35&lt;=P12,C33&lt;&gt;C35),"Para el día de regreso:, 1/2 manutención",IF(AND(C2=M1,E35&lt;=P11,C33&lt;&gt;C35),"Para el días de regreso: No corresponde manutención",IF(AND(C2=M2,C35&lt;&gt;"",C33&lt;&gt;C35,E35&gt;M11),"Para el día de regreso: regreso posterior a las 22:00 H,",IF(AND(C2=M2,C35&lt;&gt;"",C33&lt;&gt;C35,E35&gt;M9),"Para el día de regreso: Regreso posterior a las 14:00 H 1/2 nanut.",IF(AND(C2=M2,C35&lt;&gt;"",C33&lt;&gt;C35,E35&lt;=M9),"Para el día de regreso no corresponde dieta",IF(AND(C2=R27,E35&gt;P12,C33&lt;&gt;C35,E35&lt;&gt;""),"Para el día de regreso: manutención sin pernoctar",IF(AND(C2=R27,E35&gt;P11,E35&lt;=P12,C33&lt;&gt;C35),"Para el día de regreso:, 1/2 manutención",IF(AND(C2=R27,E35&lt;=P11,C33&lt;&gt;C35),"Para el días de regreso: No corresponde manutención",""))))))))))</f>
        <v/>
      </c>
      <c r="G35" s="1056"/>
      <c r="H35" s="1056"/>
      <c r="I35" s="1056"/>
      <c r="CR35" s="23" t="str">
        <f>IF(D75&lt;&gt;"","",IF($E$76&lt;&gt;$D$12,"",IF(OR($D$75,$B$83&lt;&gt;""),"",B35)))</f>
        <v/>
      </c>
      <c r="CS35" s="469" t="str">
        <f>IF(C35="","",IF(D75&lt;&gt;"","",IF($E$76&lt;&gt;$D$12,"",IF(OR($D$75,$B$83&lt;&gt;""),"",C35))))</f>
        <v/>
      </c>
      <c r="CT35" s="134"/>
      <c r="CU35" s="470" t="str">
        <f>IF(E35="","",IF(D75&lt;&gt;"","",IF($E$76&lt;&gt;$D$12,"",IF(OR($D$75,$B$83&lt;&gt;""),"",E35))))</f>
        <v/>
      </c>
      <c r="CV35" s="1027" t="str">
        <f>IF($E$76&lt;&gt;$D$12,"",IF(OR($D$75,$B$83&lt;&gt;""),"",F35))</f>
        <v/>
      </c>
      <c r="CW35" s="1027"/>
      <c r="CX35" s="1027"/>
      <c r="CY35" s="1027"/>
    </row>
    <row r="36" spans="2:183" ht="13.8" x14ac:dyDescent="0.25">
      <c r="B36" s="23" t="s">
        <v>171</v>
      </c>
      <c r="C36" s="122" t="str">
        <f>IF(OR(C33="",C35=""),"",(C35-C33)+1)</f>
        <v/>
      </c>
      <c r="D36" s="10"/>
      <c r="F36" s="1141" t="str">
        <f>IF(AND(C2=M2,C35&lt;&gt;"",C33&lt;&gt;C35,E35&gt;M11),"excepcionalmente manut. Completa, previa factura de la cena.","")</f>
        <v/>
      </c>
      <c r="G36" s="1141"/>
      <c r="H36" s="1141"/>
      <c r="I36" s="1141"/>
      <c r="V36" s="347"/>
      <c r="W36" s="338"/>
      <c r="X36" s="338"/>
      <c r="Y36" s="338"/>
      <c r="Z36" s="338"/>
      <c r="AA36" s="338"/>
      <c r="AB36" s="338"/>
      <c r="AC36" s="338"/>
      <c r="AM36" s="1109" t="s">
        <v>377</v>
      </c>
      <c r="AN36" s="1110"/>
      <c r="AO36" s="434" t="s">
        <v>378</v>
      </c>
      <c r="AP36" s="426" t="s">
        <v>378</v>
      </c>
      <c r="AQ36" s="426" t="s">
        <v>379</v>
      </c>
      <c r="AR36" s="431">
        <v>0.21</v>
      </c>
      <c r="AS36" s="429" t="s">
        <v>380</v>
      </c>
      <c r="CR36" s="23" t="str">
        <f>IF(D75&lt;&gt;"","",IF($E$76&lt;&gt;$D$12,"",IF(OR($D$75,$B$83&lt;&gt;""),"",B36)))</f>
        <v/>
      </c>
      <c r="CS36" s="122" t="str">
        <f>IF(D75&lt;&gt;"","",IF(E76&lt;&gt;D12,"",IF(OR(D75,B83&lt;&gt;""),"",C36)))</f>
        <v/>
      </c>
      <c r="CT36" s="10"/>
      <c r="CV36" s="1024"/>
      <c r="CW36" s="1024"/>
      <c r="CX36" s="1024"/>
      <c r="CY36" s="1024"/>
    </row>
    <row r="37" spans="2:183" ht="15" customHeight="1" x14ac:dyDescent="0.25">
      <c r="C37" s="24"/>
      <c r="D37" s="1057" t="s">
        <v>162</v>
      </c>
      <c r="E37" s="1057"/>
      <c r="F37" s="10"/>
      <c r="G37" s="37"/>
      <c r="H37" s="38"/>
      <c r="T37" s="409" t="s">
        <v>350</v>
      </c>
      <c r="U37" s="409" t="s">
        <v>152</v>
      </c>
      <c r="V37" s="324" t="s">
        <v>282</v>
      </c>
      <c r="W37" s="335">
        <f>SUM(G38:G40)</f>
        <v>0</v>
      </c>
      <c r="X37" s="326"/>
      <c r="Y37" s="326"/>
      <c r="Z37" s="326"/>
      <c r="AA37" s="326" t="s">
        <v>350</v>
      </c>
      <c r="AB37" s="326"/>
      <c r="AC37" s="326"/>
      <c r="AD37" s="327" t="s">
        <v>351</v>
      </c>
      <c r="AM37" s="423" t="s">
        <v>398</v>
      </c>
      <c r="AN37" s="423" t="s">
        <v>350</v>
      </c>
      <c r="AO37" s="432">
        <v>0.1</v>
      </c>
      <c r="AP37" s="424">
        <v>0.1</v>
      </c>
      <c r="AQ37" s="427"/>
      <c r="AR37" s="428"/>
      <c r="AS37" s="429"/>
      <c r="CS37" s="475"/>
      <c r="CT37" s="1028" t="str">
        <f>IF(D75&lt;&gt;"","",IF($E$76&lt;&gt;$D$12,"",IF(OR($D$75,$B$83&lt;&gt;""),"",D37)))</f>
        <v/>
      </c>
      <c r="CU37" s="1028"/>
      <c r="CV37" s="10"/>
      <c r="CX37" s="476"/>
    </row>
    <row r="38" spans="2:183" ht="13.8" x14ac:dyDescent="0.25">
      <c r="B38" s="659" t="s">
        <v>116</v>
      </c>
      <c r="C38" s="701"/>
      <c r="D38" s="165" t="str">
        <f>IF(C38&gt;1,"noches","noche")</f>
        <v>noche</v>
      </c>
      <c r="E38" s="78" t="str">
        <f>IF(C2=M1,VLOOKUP(D37,ANEXO!A2:C100,2,0),IF(C2=M2,VLOOKUP(D37,ANEXO!D2:G100,2,0),IF(C2=R27,VLOOKUP(D37,ANEXO!A2:C100,2,0),"")))</f>
        <v/>
      </c>
      <c r="F38" s="19" t="s">
        <v>201</v>
      </c>
      <c r="G38" s="107" t="str">
        <f>IF(E38="","",C38*E38)</f>
        <v/>
      </c>
      <c r="H38" s="25"/>
      <c r="K38" s="276" t="s">
        <v>152</v>
      </c>
      <c r="L38" s="276" t="s">
        <v>153</v>
      </c>
      <c r="T38" s="409"/>
      <c r="U38" s="409"/>
      <c r="V38" s="324" t="str">
        <f>B38</f>
        <v>Alojamiento (según decreto)</v>
      </c>
      <c r="W38" s="336">
        <f>C38</f>
        <v>0</v>
      </c>
      <c r="X38" s="326" t="str">
        <f>D38</f>
        <v>noche</v>
      </c>
      <c r="Y38" s="326" t="s">
        <v>259</v>
      </c>
      <c r="Z38" s="325" t="str">
        <f>E38</f>
        <v/>
      </c>
      <c r="AA38" s="326" t="str">
        <f>F38</f>
        <v>€/noche</v>
      </c>
      <c r="AB38" s="335" t="str">
        <f>G38</f>
        <v/>
      </c>
      <c r="AC38" s="326" t="str">
        <f>IF(AB38&lt;&gt;"","€;","")</f>
        <v/>
      </c>
      <c r="AD38" s="921" t="str">
        <f>IF(AB38&lt;&gt;0,W38&amp;" "&amp;X38&amp;" "&amp;Y38&amp;" "&amp;Z38&amp;$AA$37&amp;" "&amp;AB38&amp;AC38,"")</f>
        <v xml:space="preserve">0 noche a €/N </v>
      </c>
      <c r="AE38" s="940"/>
      <c r="AF38" s="922"/>
      <c r="AG38" s="411" t="s">
        <v>376</v>
      </c>
      <c r="AH38" s="413" t="s">
        <v>350</v>
      </c>
      <c r="AM38" s="420"/>
      <c r="AN38" s="422" t="str">
        <f>IF(AM39=0,"",AM39/W39)</f>
        <v/>
      </c>
      <c r="AO38" s="420"/>
      <c r="AP38" s="420"/>
      <c r="AQ38" s="421"/>
      <c r="AR38" s="428"/>
      <c r="AS38" s="429"/>
      <c r="CR38" s="442" t="str">
        <f t="shared" ref="CR38:CR44" si="19">IF($D$75&lt;&gt;"","",IF($E$76&lt;&gt;$D$12,"",IF(OR($D$75,$B$83&lt;&gt;""),"",B38)))</f>
        <v/>
      </c>
      <c r="CS38" s="477" t="str">
        <f t="shared" ref="CS38:CS44" si="20">IF($D$75&lt;&gt;"","",IF($E$76&lt;&gt;$D$12,"",IF(C38="","",IF(OR($D$75,$B$83&lt;&gt;""),"",C38))))</f>
        <v/>
      </c>
      <c r="CT38" s="165" t="str">
        <f t="shared" ref="CT38:CW44" si="21">IF($D$75&lt;&gt;"","",IF($E$76&lt;&gt;$D$12,"",IF(OR($D$75,$B$83&lt;&gt;""),"",D38)))</f>
        <v/>
      </c>
      <c r="CU38" s="58" t="str">
        <f t="shared" si="21"/>
        <v/>
      </c>
      <c r="CV38" s="19" t="str">
        <f t="shared" si="21"/>
        <v/>
      </c>
      <c r="CW38" s="107" t="str">
        <f t="shared" si="21"/>
        <v/>
      </c>
      <c r="CX38" s="25"/>
    </row>
    <row r="39" spans="2:183" ht="13.65" customHeight="1" x14ac:dyDescent="0.25">
      <c r="B39" s="659" t="s">
        <v>105</v>
      </c>
      <c r="C39" s="701"/>
      <c r="D39" s="165" t="str">
        <f>IF(C39&gt;1,"noches","noche")</f>
        <v>noche</v>
      </c>
      <c r="E39" s="64">
        <f>IF(C39="",0,G39/C39)</f>
        <v>0</v>
      </c>
      <c r="F39" s="19" t="s">
        <v>201</v>
      </c>
      <c r="G39" s="174">
        <v>0</v>
      </c>
      <c r="H39" s="1148" t="str">
        <f>IF(AND(C39="",G39&gt;0),"Falta indicar las noches",IF(AND(L39&gt;0,G39&gt;K39),"Supera al Decreto en"&amp;TEXT((L39)," #.###,00 €"),""))</f>
        <v/>
      </c>
      <c r="I39" s="1148"/>
      <c r="K39" s="288" t="str">
        <f>IF(E38="","",C39*E38)</f>
        <v/>
      </c>
      <c r="L39" s="285" t="str">
        <f>IF(K39="","",G39-K39)</f>
        <v/>
      </c>
      <c r="M39" s="276" t="s">
        <v>195</v>
      </c>
      <c r="T39" s="409"/>
      <c r="U39" s="410" t="str">
        <f>K39</f>
        <v/>
      </c>
      <c r="V39" s="324" t="str">
        <f t="shared" ref="V39:V40" si="22">B39</f>
        <v>Alojamiento (según factura)</v>
      </c>
      <c r="W39" s="336">
        <f t="shared" ref="W39:W40" si="23">C39</f>
        <v>0</v>
      </c>
      <c r="X39" s="326" t="str">
        <f t="shared" ref="X39:X40" si="24">D39</f>
        <v>noche</v>
      </c>
      <c r="Y39" s="326" t="s">
        <v>259</v>
      </c>
      <c r="Z39" s="325">
        <f t="shared" ref="Z39:Z40" si="25">E39</f>
        <v>0</v>
      </c>
      <c r="AA39" s="326" t="str">
        <f t="shared" ref="AA39:AA40" si="26">F39</f>
        <v>€/noche</v>
      </c>
      <c r="AB39" s="335">
        <f t="shared" ref="AB39:AB40" si="27">G39</f>
        <v>0</v>
      </c>
      <c r="AC39" s="326" t="str">
        <f>IF(AB39&lt;&gt;"","€;","")</f>
        <v>€;</v>
      </c>
      <c r="AD39" s="921" t="str">
        <f>IF(AB39&lt;&gt;0,W39&amp;" "&amp;X39&amp;" "&amp;Y39&amp;" "&amp;Z39&amp;$AA$37&amp;" "&amp;AB39&amp;AC39,"")</f>
        <v/>
      </c>
      <c r="AE39" s="940"/>
      <c r="AF39" s="922"/>
      <c r="AG39" s="412">
        <f>IF(AB39&lt;U39,AB39,U39)</f>
        <v>0</v>
      </c>
      <c r="AH39" s="412" t="str">
        <f>IF(AG39=0,"",AG39/W39)</f>
        <v/>
      </c>
      <c r="AI39" s="411" t="str">
        <f>IF(AB39&lt;&gt;0,W39&amp;" "&amp;X39&amp;" "&amp;Y39&amp;" "&amp;AH39&amp;$AA$37&amp;" "&amp;AG39&amp;AC39,"")</f>
        <v/>
      </c>
      <c r="AM39" s="422">
        <f>AQ39*AO37*AR36+AQ39</f>
        <v>0</v>
      </c>
      <c r="AN39" s="422" t="str">
        <f>IF(AN38="","",IF(AB39&lt;&gt;0,W39&amp;""&amp;X39&amp;" "&amp;Y39&amp;" "&amp;AN38&amp;$AA$10&amp;" "&amp;AT39&amp;AC39,""))</f>
        <v/>
      </c>
      <c r="AO39" s="420"/>
      <c r="AP39" s="420"/>
      <c r="AQ39" s="427">
        <f>AS39/(1+AP37)</f>
        <v>0</v>
      </c>
      <c r="AR39" s="428"/>
      <c r="AS39" s="430">
        <f>AG39</f>
        <v>0</v>
      </c>
      <c r="AT39" s="464" t="str">
        <f>IF(AN38="","",AN38*W39)</f>
        <v/>
      </c>
      <c r="CR39" s="442" t="str">
        <f t="shared" si="19"/>
        <v/>
      </c>
      <c r="CS39" s="477" t="str">
        <f t="shared" si="20"/>
        <v/>
      </c>
      <c r="CT39" s="165" t="str">
        <f t="shared" si="21"/>
        <v/>
      </c>
      <c r="CU39" s="58" t="str">
        <f t="shared" si="21"/>
        <v/>
      </c>
      <c r="CV39" s="19" t="str">
        <f t="shared" si="21"/>
        <v/>
      </c>
      <c r="CW39" s="107" t="str">
        <f t="shared" si="21"/>
        <v/>
      </c>
      <c r="CX39" s="1029" t="str">
        <f>IF(D75&lt;&gt;"","",IF(E76&lt;&gt;D12,"",IF(OR(D75,B83&lt;&gt;""),"",H39)))</f>
        <v/>
      </c>
      <c r="CY39" s="1029"/>
    </row>
    <row r="40" spans="2:183" ht="13.8" x14ac:dyDescent="0.25">
      <c r="B40" s="660" t="s">
        <v>284</v>
      </c>
      <c r="C40" s="701"/>
      <c r="D40" s="165" t="str">
        <f>IF(C40&gt;1,"noches","noche")</f>
        <v>noche</v>
      </c>
      <c r="E40" s="218">
        <f>IF(C40="",0,G40/C40)</f>
        <v>0</v>
      </c>
      <c r="F40" s="19" t="s">
        <v>201</v>
      </c>
      <c r="G40" s="152">
        <v>0</v>
      </c>
      <c r="H40" s="1142" t="str">
        <f>IF(AND(C40="",G40&gt;0),"Falta indicar las noches",IF(AND(L40&gt;0,G40&gt;K40),"Supera al Decreto en"&amp;TEXT((L40)," #.###,00 €"),M25))</f>
        <v>Pagos a Terceros</v>
      </c>
      <c r="I40" s="1143"/>
      <c r="K40" s="279" t="str">
        <f>IF(E38="","",C40*E38)</f>
        <v/>
      </c>
      <c r="L40" s="285" t="str">
        <f>IF(K40="","",G40-K40)</f>
        <v/>
      </c>
      <c r="M40" s="289">
        <f>E35-E33</f>
        <v>0</v>
      </c>
      <c r="T40" s="409"/>
      <c r="U40" s="410" t="str">
        <f>K40</f>
        <v/>
      </c>
      <c r="V40" s="324" t="str">
        <f t="shared" si="22"/>
        <v>Alojamiento Pagos a Terceros</v>
      </c>
      <c r="W40" s="336">
        <f t="shared" si="23"/>
        <v>0</v>
      </c>
      <c r="X40" s="326" t="str">
        <f t="shared" si="24"/>
        <v>noche</v>
      </c>
      <c r="Y40" s="326" t="s">
        <v>259</v>
      </c>
      <c r="Z40" s="325">
        <f t="shared" si="25"/>
        <v>0</v>
      </c>
      <c r="AA40" s="326" t="str">
        <f t="shared" si="26"/>
        <v>€/noche</v>
      </c>
      <c r="AB40" s="335">
        <f t="shared" si="27"/>
        <v>0</v>
      </c>
      <c r="AC40" s="326" t="str">
        <f>IF(AB40&lt;&gt;"","€;","")</f>
        <v>€;</v>
      </c>
      <c r="AD40" s="921" t="str">
        <f>IF(AB40&lt;&gt;0,W40&amp;" "&amp;X40&amp;" "&amp;Y40&amp;" "&amp;Z40&amp;$AA$37&amp;" "&amp;AB40&amp;AC40,"")</f>
        <v/>
      </c>
      <c r="AE40" s="940"/>
      <c r="AF40" s="922"/>
      <c r="AG40" s="412">
        <f>IF(AB40&lt;U40,AB40,U40)</f>
        <v>0</v>
      </c>
      <c r="AH40" s="412" t="str">
        <f>IF(AG40=0,"",AG40/W40)</f>
        <v/>
      </c>
      <c r="AI40" s="411" t="str">
        <f>IF(AB40&lt;&gt;0,V40&amp;"  "&amp;W40&amp;" "&amp;X40&amp;" "&amp;Y40&amp;" "&amp;AH40&amp;AH38&amp;" "&amp;AG40&amp;AC40,"")</f>
        <v/>
      </c>
      <c r="AM40" s="422">
        <f>AQ40*AO37*AR36+AQ40</f>
        <v>0</v>
      </c>
      <c r="AN40" s="422" t="str">
        <f>IF(AM40=0,"",AM40/W40)</f>
        <v/>
      </c>
      <c r="AO40" s="420"/>
      <c r="AP40" s="420"/>
      <c r="AQ40" s="427">
        <f>AS40/(1+AP37)</f>
        <v>0</v>
      </c>
      <c r="AR40" s="428"/>
      <c r="AS40" s="430">
        <f>AG40</f>
        <v>0</v>
      </c>
      <c r="AT40" s="465" t="str">
        <f>IF(AN40="","",W40*AN40)</f>
        <v/>
      </c>
      <c r="CR40" s="442" t="str">
        <f t="shared" si="19"/>
        <v/>
      </c>
      <c r="CS40" s="477" t="str">
        <f t="shared" si="20"/>
        <v/>
      </c>
      <c r="CT40" s="165" t="str">
        <f t="shared" si="21"/>
        <v/>
      </c>
      <c r="CU40" s="58" t="str">
        <f t="shared" si="21"/>
        <v/>
      </c>
      <c r="CV40" s="19" t="str">
        <f t="shared" si="21"/>
        <v/>
      </c>
      <c r="CW40" s="107" t="str">
        <f t="shared" si="21"/>
        <v/>
      </c>
      <c r="CX40" s="1029" t="str">
        <f>IF(D75&lt;&gt;"","",IF(E76&lt;&gt;D12,"",IF(OR(D75,B83&lt;&gt;""),"",H40)))</f>
        <v/>
      </c>
      <c r="CY40" s="1029"/>
    </row>
    <row r="41" spans="2:183" ht="13.8" x14ac:dyDescent="0.25">
      <c r="B41" s="664" t="s">
        <v>0</v>
      </c>
      <c r="C41" s="701"/>
      <c r="D41" s="165" t="str">
        <f>IF(C41&gt;1,"días","día")</f>
        <v>día</v>
      </c>
      <c r="E41" s="78" t="str">
        <f>IF(C2=M1,S9,IF(C2=R27,S9,IF(C2=M2,VLOOKUP(D37,ANEXO!D2:G100,4,0),"")))</f>
        <v/>
      </c>
      <c r="F41" s="19" t="s">
        <v>200</v>
      </c>
      <c r="G41" s="105">
        <f>IF(E41="",0,C41*E41)</f>
        <v>0</v>
      </c>
      <c r="H41" s="1139" t="s">
        <v>687</v>
      </c>
      <c r="I41" s="1140"/>
      <c r="V41" s="943" t="str">
        <f>IF(AB38&lt;&gt;0,V38 &amp; " " &amp; W38 &amp;" " &amp; X38 &amp;" " &amp; Y38 &amp; " "&amp; Z38  &amp; " "&amp; AA38  &amp; " "&amp; AB38&amp;AC38,"")</f>
        <v xml:space="preserve">Alojamiento (según decreto) 0 noche a  €/noche </v>
      </c>
      <c r="W41" s="944"/>
      <c r="X41" s="944"/>
      <c r="Y41" s="944"/>
      <c r="Z41" s="944"/>
      <c r="AA41" s="944"/>
      <c r="AB41" s="944"/>
      <c r="AC41" s="945"/>
      <c r="AD41" s="327" t="str">
        <f>IF(W37&lt;&gt;0,AD37&amp;" "&amp;V69&amp;" "&amp;AD38&amp;" "&amp;AD39,"")</f>
        <v/>
      </c>
      <c r="AE41" s="327"/>
      <c r="AF41" s="327"/>
      <c r="AG41" s="327"/>
      <c r="AH41" s="327"/>
      <c r="AM41" s="420" t="str">
        <f>IF(AB40&lt;&gt;0,V40&amp;" "&amp;W40&amp;""&amp;X40&amp;" "&amp;Y40&amp;" "&amp;AN40&amp;$AA$10&amp;" "&amp;AT40&amp;AC40,"")</f>
        <v/>
      </c>
      <c r="AN41" s="420"/>
      <c r="AO41" s="420"/>
      <c r="AP41" s="420"/>
      <c r="AQ41" s="421"/>
      <c r="AR41" s="428"/>
      <c r="AS41" s="429"/>
      <c r="CR41" s="442" t="str">
        <f t="shared" si="19"/>
        <v/>
      </c>
      <c r="CS41" s="477" t="str">
        <f t="shared" si="20"/>
        <v/>
      </c>
      <c r="CT41" s="165" t="str">
        <f t="shared" si="21"/>
        <v/>
      </c>
      <c r="CU41" s="58" t="str">
        <f t="shared" si="21"/>
        <v/>
      </c>
      <c r="CV41" s="19" t="str">
        <f t="shared" si="21"/>
        <v/>
      </c>
      <c r="CW41" s="107" t="str">
        <f t="shared" si="21"/>
        <v/>
      </c>
      <c r="CX41" s="1030" t="str">
        <f>IF(D75&lt;&gt;"","",IF(E76&lt;&gt;D12,"",IF(OR(D75,B83&lt;&gt;""),"",H41)))</f>
        <v/>
      </c>
      <c r="CY41" s="1030"/>
    </row>
    <row r="42" spans="2:183" ht="13.8" x14ac:dyDescent="0.25">
      <c r="B42" s="665" t="str">
        <f>IF(B10=K2,M5,IF(B10=K3,P5,IF(B10=R24,P5,IF(B10=R25,P5,IF(B10=K4,P5,"")))))</f>
        <v/>
      </c>
      <c r="C42" s="701"/>
      <c r="D42" s="165" t="str">
        <f>IF(C42&gt;1,"días","día")</f>
        <v>día</v>
      </c>
      <c r="E42" s="64">
        <f>IF(B42=M5,VLOOKUP(D37,ANEXO!D2:G100,3,0),VLOOKUP(D37,ANEXO!A2:C100,3,0))</f>
        <v>0</v>
      </c>
      <c r="F42" s="19" t="s">
        <v>200</v>
      </c>
      <c r="G42" s="108">
        <f>C42*E42</f>
        <v>0</v>
      </c>
      <c r="H42" s="1115"/>
      <c r="I42" s="1115"/>
      <c r="V42" s="943" t="str">
        <f t="shared" ref="V42:V43" si="28">IF(AB39&lt;&gt;0,V39 &amp; " " &amp; W39 &amp;" " &amp; X39 &amp;" " &amp; Y39 &amp; " "&amp; Z39  &amp; " "&amp; AA39  &amp; " "&amp; AB39&amp;AC39,"")</f>
        <v/>
      </c>
      <c r="W42" s="944"/>
      <c r="X42" s="944"/>
      <c r="Y42" s="944"/>
      <c r="Z42" s="944"/>
      <c r="AA42" s="944"/>
      <c r="AB42" s="944"/>
      <c r="AC42" s="945"/>
      <c r="AD42" s="327" t="str">
        <f>IF(AB40&lt;&gt;0,V40&amp;" "&amp;V69&amp;" "&amp;AD40,"")</f>
        <v/>
      </c>
      <c r="AE42" s="327"/>
      <c r="AF42" s="327"/>
      <c r="AG42" s="327"/>
      <c r="AM42" s="420"/>
      <c r="AN42" s="422"/>
      <c r="AO42" s="420"/>
      <c r="AP42" s="420"/>
      <c r="AQ42" s="421"/>
      <c r="AR42" s="428"/>
      <c r="AS42" s="429"/>
      <c r="CR42" s="442" t="str">
        <f t="shared" si="19"/>
        <v/>
      </c>
      <c r="CS42" s="477" t="str">
        <f t="shared" si="20"/>
        <v/>
      </c>
      <c r="CT42" s="165" t="str">
        <f t="shared" si="21"/>
        <v/>
      </c>
      <c r="CU42" s="58" t="str">
        <f t="shared" si="21"/>
        <v/>
      </c>
      <c r="CV42" s="19" t="str">
        <f t="shared" si="21"/>
        <v/>
      </c>
      <c r="CW42" s="107" t="str">
        <f t="shared" si="21"/>
        <v/>
      </c>
      <c r="CX42" s="1031"/>
      <c r="CY42" s="1031"/>
    </row>
    <row r="43" spans="2:183" ht="13.8" x14ac:dyDescent="0.25">
      <c r="B43" s="664" t="s">
        <v>122</v>
      </c>
      <c r="C43" s="702"/>
      <c r="D43" s="165" t="str">
        <f t="shared" ref="D43" si="29">IF(C43&gt;1,"días","día")</f>
        <v>día</v>
      </c>
      <c r="E43" s="64">
        <f>IF(C43="",0,G43/C43)</f>
        <v>0</v>
      </c>
      <c r="F43" s="19" t="s">
        <v>200</v>
      </c>
      <c r="G43" s="106">
        <v>0</v>
      </c>
      <c r="H43" s="1116" t="str">
        <f>IF(AND(C43="",G43&gt;0),"Falta indicar los días",IF(AND(L43&gt;0,G43&gt;K43),"Supera al Decreto en"&amp;TEXT((L43)," #.###,00 €"),""))</f>
        <v/>
      </c>
      <c r="I43" s="1116"/>
      <c r="K43" s="279">
        <f>C43*E42</f>
        <v>0</v>
      </c>
      <c r="L43" s="279">
        <f>G43-K43</f>
        <v>0</v>
      </c>
      <c r="V43" s="943" t="str">
        <f t="shared" si="28"/>
        <v/>
      </c>
      <c r="W43" s="944"/>
      <c r="X43" s="944"/>
      <c r="Y43" s="944"/>
      <c r="Z43" s="944"/>
      <c r="AA43" s="944"/>
      <c r="AB43" s="944"/>
      <c r="AC43" s="945"/>
      <c r="AM43" s="420"/>
      <c r="AN43" s="420"/>
      <c r="AO43" s="420"/>
      <c r="AP43" s="420"/>
      <c r="AQ43" s="421"/>
      <c r="AR43" s="428"/>
      <c r="AS43" s="429"/>
      <c r="CR43" s="442" t="str">
        <f t="shared" si="19"/>
        <v/>
      </c>
      <c r="CS43" s="693" t="str">
        <f t="shared" si="20"/>
        <v/>
      </c>
      <c r="CT43" s="165" t="str">
        <f t="shared" si="21"/>
        <v/>
      </c>
      <c r="CU43" s="58" t="str">
        <f t="shared" si="21"/>
        <v/>
      </c>
      <c r="CV43" s="19" t="str">
        <f t="shared" si="21"/>
        <v/>
      </c>
      <c r="CW43" s="107" t="str">
        <f t="shared" si="21"/>
        <v/>
      </c>
      <c r="CX43" s="1024" t="str">
        <f>IF(D75&lt;&gt;"","",IF(E76&lt;&gt;D12,"",IF(OR(D75,B83&lt;&gt;""),"",H43)))</f>
        <v/>
      </c>
      <c r="CY43" s="1024"/>
    </row>
    <row r="44" spans="2:183" ht="13.8" x14ac:dyDescent="0.25">
      <c r="B44" s="664" t="str">
        <f>IF(OR(B10=K3,B10=K4,B10=R24,B10=R25),P6,"")</f>
        <v/>
      </c>
      <c r="C44" s="703"/>
      <c r="D44" s="165" t="str">
        <f>IF(B44="","",IF(C44&gt;1,"días","día"))</f>
        <v/>
      </c>
      <c r="E44" s="58" t="str">
        <f>IF(B44="","",26.67)</f>
        <v/>
      </c>
      <c r="F44" s="19" t="str">
        <f>IF(B44="","","€/día")</f>
        <v/>
      </c>
      <c r="G44" s="58" t="str">
        <f>IF(B44="","",C44*E44)</f>
        <v/>
      </c>
      <c r="V44" s="324" t="str">
        <f>IF(W37&gt;0,"Total alojamiento en T. Extranjero:"&amp;" "&amp;V69&amp;" "&amp;TEXT((W37),"#.###,00 €")&amp;" desglosado en:" &amp; V41 &amp;" " &amp;" " &amp; V42 &amp;" " &amp; V43,"")</f>
        <v/>
      </c>
      <c r="W44" s="326"/>
      <c r="X44" s="326"/>
      <c r="Y44" s="326"/>
      <c r="Z44" s="326"/>
      <c r="AA44" s="326"/>
      <c r="AB44" s="326"/>
      <c r="AC44" s="326"/>
      <c r="CR44" s="442" t="str">
        <f t="shared" si="19"/>
        <v/>
      </c>
      <c r="CS44" s="690" t="str">
        <f t="shared" si="20"/>
        <v/>
      </c>
      <c r="CT44" s="165" t="str">
        <f t="shared" si="21"/>
        <v/>
      </c>
      <c r="CU44" s="58" t="str">
        <f t="shared" si="21"/>
        <v/>
      </c>
      <c r="CV44" s="19" t="str">
        <f t="shared" si="21"/>
        <v/>
      </c>
      <c r="CW44" s="107" t="str">
        <f t="shared" si="21"/>
        <v/>
      </c>
    </row>
    <row r="45" spans="2:183" x14ac:dyDescent="0.25">
      <c r="B45" s="26"/>
      <c r="C45" s="26"/>
      <c r="D45" s="26"/>
      <c r="E45" s="26"/>
      <c r="F45" s="26"/>
      <c r="G45" s="8"/>
      <c r="K45" s="666">
        <f>SUM(G38:G44)</f>
        <v>0</v>
      </c>
      <c r="CR45" s="478"/>
      <c r="CS45" s="691"/>
      <c r="CT45" s="478"/>
      <c r="CU45" s="478"/>
      <c r="CV45" s="478"/>
      <c r="CW45" s="8"/>
    </row>
    <row r="46" spans="2:183" ht="13.8" x14ac:dyDescent="0.25">
      <c r="B46" s="1114" t="str">
        <f>IF(E76&lt;&gt;D12,"",IF(D75&lt;&gt;"","",IF(B10&lt;&gt;0,"Total de dietas en T. Extranjero desglosado en manutención "&amp;TEXT((L46),"#.###,00 €")&amp;" alojamiento "&amp;TEXT(N46,"#.###,00 €"),"")))</f>
        <v/>
      </c>
      <c r="C46" s="1114"/>
      <c r="D46" s="1114"/>
      <c r="E46" s="1114"/>
      <c r="F46" s="1114"/>
      <c r="G46" s="100">
        <f>IF(OR(H24=K14,H25=K14,H28=K13,H39=K14,H40=K14,H43=K13),0,SUM(G38:G44))</f>
        <v>0</v>
      </c>
      <c r="K46" s="276" t="s">
        <v>243</v>
      </c>
      <c r="L46" s="285">
        <f>SUM(G41:G44)</f>
        <v>0</v>
      </c>
      <c r="M46" s="276" t="s">
        <v>242</v>
      </c>
      <c r="N46" s="285">
        <f>SUM(G38:G40)</f>
        <v>0</v>
      </c>
      <c r="AF46" s="650">
        <v>0.21</v>
      </c>
      <c r="AG46" s="651">
        <v>0.1</v>
      </c>
      <c r="CR46" s="1020" t="str">
        <f>IF(E76&lt;&gt;D12,"",IF(OR(D75,B83&lt;&gt;""),"",B46))</f>
        <v/>
      </c>
      <c r="CS46" s="1020"/>
      <c r="CT46" s="1020"/>
      <c r="CU46" s="1020"/>
      <c r="CV46" s="1020"/>
      <c r="CW46" s="479" t="str">
        <f>IF(D75&lt;&gt;"","",IF(E76&lt;&gt;D12,"",IF(OR(D75,B83&lt;&gt;""),"",G46)))</f>
        <v/>
      </c>
    </row>
    <row r="47" spans="2:183" ht="13.8" x14ac:dyDescent="0.25">
      <c r="B47" s="1114" t="str">
        <f>IF(E76&lt;&gt;D12,"",IF(D75&lt;&gt;"","","TOTAL DIETAS (N+E)"))</f>
        <v/>
      </c>
      <c r="C47" s="1114"/>
      <c r="D47" s="1114"/>
      <c r="E47" s="1114"/>
      <c r="F47" s="1114"/>
      <c r="G47" s="1149" t="str">
        <f>IF(E76&lt;&gt;D12,"",IF(D75&lt;&gt;"","",G30+G46))</f>
        <v/>
      </c>
      <c r="H47" s="1149"/>
      <c r="AD47" s="277" t="str">
        <f>IF(AD48&lt;&gt;"","a 0,19€/km;","")</f>
        <v/>
      </c>
      <c r="AF47" s="327" t="s">
        <v>373</v>
      </c>
      <c r="AG47" s="327"/>
      <c r="AH47" s="411"/>
      <c r="AK47" s="242" t="s">
        <v>349</v>
      </c>
      <c r="CR47" s="1020" t="str">
        <f>IF(E76&lt;&gt;D12,"",IF(OR(D75,B83&lt;&gt;""),"",B47))</f>
        <v/>
      </c>
      <c r="CS47" s="1020"/>
      <c r="CT47" s="1020"/>
      <c r="CU47" s="1020"/>
      <c r="CV47" s="1020"/>
      <c r="CW47" s="1021" t="str">
        <f>IF(D75&lt;&gt;"","",IF(E76&lt;&gt;D12,"",IF(OR(D75,B83&lt;&gt;""),"",G47)))</f>
        <v/>
      </c>
      <c r="CX47" s="1021"/>
    </row>
    <row r="48" spans="2:183" x14ac:dyDescent="0.25">
      <c r="C48" s="1130" t="s">
        <v>156</v>
      </c>
      <c r="D48" s="1130"/>
      <c r="G48" s="27"/>
      <c r="K48" s="276" t="str">
        <f>IF(B10&lt;&gt;0,"Total de dietas en T. Extranjero desglosado en manutención "&amp;TEXT((L46),"0.###,00 €")&amp;" alojamiento "&amp;TEXT(N46,"#.###,00 €"),"")</f>
        <v>Total de dietas en T. Extranjero desglosado en manutención 0.,00 € alojamiento ,00 €</v>
      </c>
      <c r="Z48" s="921" t="s">
        <v>348</v>
      </c>
      <c r="AA48" s="922"/>
      <c r="AB48" s="405">
        <f>SUMIF($V$50:$V$58,Z48,$W$50:$W$58)</f>
        <v>0</v>
      </c>
      <c r="AC48" s="328" t="s">
        <v>349</v>
      </c>
      <c r="AD48" s="921" t="str">
        <f>IF(AB48&gt;0,Z48&amp;" "&amp;AB48&amp;""&amp;AC48,"")</f>
        <v/>
      </c>
      <c r="AE48" s="922"/>
      <c r="AF48" s="328" t="str">
        <f>IF(AG48="","",C52)</f>
        <v/>
      </c>
      <c r="AG48" s="330" t="str">
        <f>IF(D52=0,"",D52)</f>
        <v/>
      </c>
      <c r="AH48" s="921" t="s">
        <v>348</v>
      </c>
      <c r="AI48" s="922"/>
      <c r="AJ48" s="417">
        <f>SUMIF($AF$48:$AF$49,AH48,$AG$48:$AG$49)</f>
        <v>0</v>
      </c>
      <c r="AK48" s="414" t="str">
        <f>IF(AJ48&gt;0,AH48&amp;" "&amp;AJ48&amp;$AK$47,"")</f>
        <v/>
      </c>
      <c r="CS48" s="1022" t="str">
        <f>IF(D75&lt;&gt;"","",IF(E76&lt;&gt;D12,"",IF(OR(D75,B83&lt;&gt;""),"",C48)))</f>
        <v/>
      </c>
      <c r="CT48" s="1022"/>
      <c r="CW48" s="480"/>
    </row>
    <row r="49" spans="2:102" ht="13.8" x14ac:dyDescent="0.25">
      <c r="B49" s="88" t="s">
        <v>123</v>
      </c>
      <c r="C49" s="1130"/>
      <c r="D49" s="1130"/>
      <c r="F49" s="60" t="s">
        <v>133</v>
      </c>
      <c r="G49" s="143"/>
      <c r="H49" s="1150" t="s">
        <v>507</v>
      </c>
      <c r="I49" s="1150"/>
      <c r="V49" s="276" t="s">
        <v>280</v>
      </c>
      <c r="Z49" s="921" t="s">
        <v>134</v>
      </c>
      <c r="AA49" s="922"/>
      <c r="AB49" s="405">
        <f t="shared" ref="AB49:AB59" si="30">SUMIF($V$50:$V$58,Z49,$W$50:$W$58)</f>
        <v>0</v>
      </c>
      <c r="AC49" s="328" t="s">
        <v>349</v>
      </c>
      <c r="AD49" s="921" t="str">
        <f t="shared" ref="AD49:AD59" si="31">IF(AB49&gt;0,Z49&amp;" "&amp;AB49&amp;""&amp;AC49,"")</f>
        <v/>
      </c>
      <c r="AE49" s="922"/>
      <c r="AF49" s="328" t="str">
        <f>IF(AG49="","",E52)</f>
        <v/>
      </c>
      <c r="AG49" s="330" t="str">
        <f>IF(F52=0,"",F52)</f>
        <v/>
      </c>
      <c r="AH49" s="921" t="s">
        <v>134</v>
      </c>
      <c r="AI49" s="922"/>
      <c r="AJ49" s="418">
        <f t="shared" ref="AJ49:AJ59" si="32">SUMIF($AF$48:$AF$49,AH49,$AG$48:$AG$49)</f>
        <v>0</v>
      </c>
      <c r="AK49" s="415" t="str">
        <f t="shared" ref="AK49:AK59" si="33">IF(AJ49&gt;0,AH49&amp;" "&amp;AJ49&amp;$AK$47,"")</f>
        <v/>
      </c>
      <c r="CR49" s="9" t="str">
        <f>IF(D75&lt;&gt;"","",IF(E76&lt;&gt;D12,"",IF(OR(D75,B83&lt;&gt;""),"",B49)))</f>
        <v/>
      </c>
      <c r="CS49" s="1022"/>
      <c r="CT49" s="1022"/>
      <c r="CU49" s="1026" t="str">
        <f>IF(D75&lt;&gt;"","",IF(E76&lt;&gt;D12,"",IF(OR(D75,B83&lt;&gt;""),"",F49)))</f>
        <v/>
      </c>
      <c r="CV49" s="1026"/>
      <c r="CW49" s="443" t="str">
        <f>IF(G49="","",IF(D75&lt;&gt;"","",IF(E76&lt;&gt;D12,"",IF(OR(D75,B83&lt;&gt;""),"",G49))))</f>
        <v/>
      </c>
    </row>
    <row r="50" spans="2:102" ht="13.8" x14ac:dyDescent="0.25">
      <c r="B50" s="90" t="s">
        <v>1</v>
      </c>
      <c r="C50" s="49"/>
      <c r="D50" s="40">
        <v>0.19</v>
      </c>
      <c r="E50" s="39" t="s">
        <v>2</v>
      </c>
      <c r="F50" s="33"/>
      <c r="G50" s="41">
        <f>C50*D50</f>
        <v>0</v>
      </c>
      <c r="H50" s="10"/>
      <c r="K50" s="666">
        <f>K22+K45</f>
        <v>0</v>
      </c>
      <c r="V50" s="323" t="str">
        <f>IF(W50="","",C51)</f>
        <v/>
      </c>
      <c r="W50" s="325" t="str">
        <f>IF(D51=0,"",D51)</f>
        <v/>
      </c>
      <c r="X50" s="326" t="str">
        <f>IF(W50&lt;&gt;"","€","")</f>
        <v/>
      </c>
      <c r="Z50" s="921" t="s">
        <v>135</v>
      </c>
      <c r="AA50" s="922"/>
      <c r="AB50" s="405">
        <f t="shared" si="30"/>
        <v>0</v>
      </c>
      <c r="AC50" s="328" t="s">
        <v>349</v>
      </c>
      <c r="AD50" s="921" t="str">
        <f>IF(AB50&gt;0,Z50&amp;" "&amp;AB50&amp;""&amp;AC50,"")</f>
        <v/>
      </c>
      <c r="AE50" s="922"/>
      <c r="AF50" s="328"/>
      <c r="AG50" s="330">
        <f>SUM(AG48:AG49)</f>
        <v>0</v>
      </c>
      <c r="AH50" s="921" t="s">
        <v>135</v>
      </c>
      <c r="AI50" s="922"/>
      <c r="AJ50" s="418">
        <f t="shared" si="32"/>
        <v>0</v>
      </c>
      <c r="AK50" s="415" t="str">
        <f t="shared" si="33"/>
        <v/>
      </c>
      <c r="CR50" s="90" t="str">
        <f>IF(D75&lt;&gt;"","",IF(E76&lt;&gt;D12,"",IF(OR(D75,B83&lt;&gt;""),"",B50)))</f>
        <v/>
      </c>
      <c r="CS50" s="444" t="str">
        <f>IF(C50="","",IF(D75&lt;&gt;"","",IF(E76&lt;&gt;D12,"",IF(OR(D75,B83&lt;&gt;""),"",C50))))</f>
        <v/>
      </c>
      <c r="CT50" s="40" t="str">
        <f>IF(D75&lt;&gt;"","",IF(E76&lt;&gt;D12,"",IF(OR(D75,B83&lt;&gt;""),"",D50)))</f>
        <v/>
      </c>
      <c r="CU50" s="39" t="str">
        <f>IF(D75&lt;&gt;"","",IF(E76&lt;&gt;D12,"",IF(OR(D75,B83&lt;&gt;""),"",E50)))</f>
        <v/>
      </c>
      <c r="CV50" s="481"/>
      <c r="CW50" s="41" t="str">
        <f>IF(D75&lt;&gt;"","",IF(E76&lt;&gt;D12,"",IF(OR(D75,B83&lt;&gt;""),"",G50)))</f>
        <v/>
      </c>
      <c r="CX50" s="10"/>
    </row>
    <row r="51" spans="2:102" ht="13.8" x14ac:dyDescent="0.25">
      <c r="B51" s="39"/>
      <c r="C51" s="89" t="s">
        <v>129</v>
      </c>
      <c r="D51" s="79">
        <v>0</v>
      </c>
      <c r="E51" s="89" t="s">
        <v>129</v>
      </c>
      <c r="F51" s="83">
        <v>0</v>
      </c>
      <c r="G51" s="80">
        <f>D51+F51</f>
        <v>0</v>
      </c>
      <c r="H51" s="140"/>
      <c r="V51" s="323"/>
      <c r="W51" s="325"/>
      <c r="X51" s="326" t="str">
        <f>IF(W51&lt;&gt;"","€","")</f>
        <v/>
      </c>
      <c r="Z51" s="921" t="s">
        <v>137</v>
      </c>
      <c r="AA51" s="922"/>
      <c r="AB51" s="405">
        <f t="shared" si="30"/>
        <v>0</v>
      </c>
      <c r="AC51" s="328" t="s">
        <v>349</v>
      </c>
      <c r="AD51" s="921" t="str">
        <f t="shared" si="31"/>
        <v/>
      </c>
      <c r="AE51" s="922"/>
      <c r="AF51" s="406" t="str">
        <f>IF(AG50&gt;0,AF48&amp;" "&amp;AG48&amp;AC48&amp;" "&amp;AF49&amp;" "&amp;AG49&amp;AC48,"")</f>
        <v/>
      </c>
      <c r="AH51" s="921" t="s">
        <v>137</v>
      </c>
      <c r="AI51" s="922"/>
      <c r="AJ51" s="418">
        <f t="shared" si="32"/>
        <v>0</v>
      </c>
      <c r="AK51" s="415" t="str">
        <f t="shared" si="33"/>
        <v/>
      </c>
      <c r="CR51" s="39"/>
      <c r="CS51" s="482" t="str">
        <f t="shared" ref="CS51:CW54" si="34">IF($D$75&lt;&gt;"","",IF($E$76&lt;&gt;$D$12,"",IF(OR($D$75,$B$83&lt;&gt;""),"",C51)))</f>
        <v/>
      </c>
      <c r="CT51" s="445" t="str">
        <f t="shared" si="34"/>
        <v/>
      </c>
      <c r="CU51" s="482" t="str">
        <f t="shared" si="34"/>
        <v/>
      </c>
      <c r="CV51" s="483" t="str">
        <f t="shared" si="34"/>
        <v/>
      </c>
      <c r="CW51" s="80" t="str">
        <f t="shared" si="34"/>
        <v/>
      </c>
    </row>
    <row r="52" spans="2:102" ht="13.8" x14ac:dyDescent="0.25">
      <c r="B52" s="151" t="s">
        <v>126</v>
      </c>
      <c r="C52" s="189" t="s">
        <v>129</v>
      </c>
      <c r="D52" s="148">
        <v>0</v>
      </c>
      <c r="E52" s="189" t="s">
        <v>129</v>
      </c>
      <c r="F52" s="154">
        <v>0</v>
      </c>
      <c r="G52" s="155">
        <f>D52+F52</f>
        <v>0</v>
      </c>
      <c r="H52" s="1137" t="s">
        <v>128</v>
      </c>
      <c r="I52" s="1138"/>
      <c r="V52" s="323" t="str">
        <f t="shared" ref="V52:V53" si="35">IF(W52="","",C53)</f>
        <v/>
      </c>
      <c r="W52" s="325" t="str">
        <f t="shared" ref="W52:W53" si="36">IF(D53=0,"",D53)</f>
        <v/>
      </c>
      <c r="X52" s="326" t="str">
        <f t="shared" ref="X52:X59" si="37">IF(W52&lt;&gt;"","€","")</f>
        <v/>
      </c>
      <c r="Z52" s="921" t="s">
        <v>138</v>
      </c>
      <c r="AA52" s="922"/>
      <c r="AB52" s="405">
        <f t="shared" si="30"/>
        <v>0</v>
      </c>
      <c r="AC52" s="328" t="s">
        <v>349</v>
      </c>
      <c r="AD52" s="921" t="str">
        <f t="shared" si="31"/>
        <v/>
      </c>
      <c r="AE52" s="922"/>
      <c r="AH52" s="921" t="s">
        <v>138</v>
      </c>
      <c r="AI52" s="922"/>
      <c r="AJ52" s="418">
        <f t="shared" si="32"/>
        <v>0</v>
      </c>
      <c r="AK52" s="415" t="str">
        <f t="shared" si="33"/>
        <v/>
      </c>
      <c r="CR52" s="9" t="str">
        <f>IF(D75&lt;&gt;"","",IF(E76&lt;&gt;D12,"",IF(OR(D75,B83&lt;&gt;""),"",B52)))</f>
        <v/>
      </c>
      <c r="CS52" s="482" t="str">
        <f t="shared" si="34"/>
        <v/>
      </c>
      <c r="CT52" s="445" t="str">
        <f t="shared" si="34"/>
        <v/>
      </c>
      <c r="CU52" s="482" t="str">
        <f t="shared" si="34"/>
        <v/>
      </c>
      <c r="CV52" s="483" t="str">
        <f t="shared" si="34"/>
        <v/>
      </c>
      <c r="CW52" s="80" t="str">
        <f t="shared" si="34"/>
        <v/>
      </c>
      <c r="CX52" s="9" t="str">
        <f>IF(D75&lt;&gt;"","",IF(E76&lt;&gt;D12,"",IF(OR(D75,B83&lt;&gt;""),"",H52)))</f>
        <v/>
      </c>
    </row>
    <row r="53" spans="2:102" ht="13.8" x14ac:dyDescent="0.25">
      <c r="B53" s="39"/>
      <c r="C53" s="89" t="s">
        <v>129</v>
      </c>
      <c r="D53" s="79">
        <v>0</v>
      </c>
      <c r="E53" s="89" t="s">
        <v>129</v>
      </c>
      <c r="F53" s="83">
        <v>0</v>
      </c>
      <c r="G53" s="81">
        <f>D53+F53</f>
        <v>0</v>
      </c>
      <c r="H53" s="1135" t="s">
        <v>687</v>
      </c>
      <c r="I53" s="1136"/>
      <c r="V53" s="323" t="str">
        <f t="shared" si="35"/>
        <v/>
      </c>
      <c r="W53" s="325" t="str">
        <f t="shared" si="36"/>
        <v/>
      </c>
      <c r="X53" s="326" t="str">
        <f t="shared" si="37"/>
        <v/>
      </c>
      <c r="Z53" s="921" t="s">
        <v>150</v>
      </c>
      <c r="AA53" s="922"/>
      <c r="AB53" s="405">
        <f t="shared" si="30"/>
        <v>0</v>
      </c>
      <c r="AC53" s="328" t="s">
        <v>349</v>
      </c>
      <c r="AD53" s="921" t="str">
        <f t="shared" si="31"/>
        <v/>
      </c>
      <c r="AE53" s="922"/>
      <c r="AF53" s="326"/>
      <c r="AG53" s="325"/>
      <c r="AH53" s="921" t="s">
        <v>150</v>
      </c>
      <c r="AI53" s="922"/>
      <c r="AJ53" s="418">
        <f t="shared" si="32"/>
        <v>0</v>
      </c>
      <c r="AK53" s="415" t="str">
        <f t="shared" si="33"/>
        <v/>
      </c>
      <c r="CR53" s="39"/>
      <c r="CS53" s="482" t="str">
        <f t="shared" si="34"/>
        <v/>
      </c>
      <c r="CT53" s="445" t="str">
        <f t="shared" si="34"/>
        <v/>
      </c>
      <c r="CU53" s="482" t="str">
        <f t="shared" si="34"/>
        <v/>
      </c>
      <c r="CV53" s="483" t="str">
        <f t="shared" si="34"/>
        <v/>
      </c>
      <c r="CW53" s="80" t="str">
        <f t="shared" si="34"/>
        <v/>
      </c>
      <c r="CX53" s="19" t="str">
        <f>IF(D75&lt;&gt;"","",IF(E76&lt;&gt;D12,"",IF(OR(D75,B83&lt;&gt;""),"",H53)))</f>
        <v/>
      </c>
    </row>
    <row r="54" spans="2:102" ht="13.8" x14ac:dyDescent="0.25">
      <c r="B54" s="39"/>
      <c r="C54" s="89" t="s">
        <v>129</v>
      </c>
      <c r="D54" s="79">
        <v>0</v>
      </c>
      <c r="E54" s="89" t="s">
        <v>129</v>
      </c>
      <c r="F54" s="83">
        <v>0</v>
      </c>
      <c r="G54" s="82">
        <f>D54+F54</f>
        <v>0</v>
      </c>
      <c r="H54" s="140"/>
      <c r="V54" s="323" t="str">
        <f>IF(W54="","",E51)</f>
        <v/>
      </c>
      <c r="W54" s="325" t="str">
        <f>IF(F51=0,"",F51)</f>
        <v/>
      </c>
      <c r="X54" s="326" t="str">
        <f t="shared" si="37"/>
        <v/>
      </c>
      <c r="Z54" s="921" t="s">
        <v>141</v>
      </c>
      <c r="AA54" s="922"/>
      <c r="AB54" s="405">
        <f t="shared" si="30"/>
        <v>0</v>
      </c>
      <c r="AC54" s="328" t="s">
        <v>349</v>
      </c>
      <c r="AD54" s="921" t="str">
        <f t="shared" si="31"/>
        <v/>
      </c>
      <c r="AE54" s="922"/>
      <c r="AH54" s="921" t="s">
        <v>141</v>
      </c>
      <c r="AI54" s="922"/>
      <c r="AJ54" s="418">
        <f t="shared" si="32"/>
        <v>0</v>
      </c>
      <c r="AK54" s="415" t="str">
        <f t="shared" si="33"/>
        <v/>
      </c>
      <c r="CR54" s="39"/>
      <c r="CS54" s="482" t="str">
        <f t="shared" si="34"/>
        <v/>
      </c>
      <c r="CT54" s="445" t="str">
        <f t="shared" si="34"/>
        <v/>
      </c>
      <c r="CU54" s="482" t="str">
        <f t="shared" si="34"/>
        <v/>
      </c>
      <c r="CV54" s="483" t="str">
        <f t="shared" si="34"/>
        <v/>
      </c>
      <c r="CW54" s="80" t="str">
        <f t="shared" si="34"/>
        <v/>
      </c>
    </row>
    <row r="55" spans="2:102" ht="13.8" x14ac:dyDescent="0.25">
      <c r="C55" s="48"/>
      <c r="D55" s="935" t="str">
        <f>IF(AND(OR(C51="",C51="Elija Opción"),D51&gt;0),"ELIJA LA OPCIÓN DEL TRANSPORTE",IF(AND(OR(C52="",C52="Elija Opción"),D52&gt;0),"ELIJA LA OPCIÓN DEL TRANSPORTE",IF(AND(OR(C53="",C53="Elija Opción"),D53&gt;0),"ELIJA LA OPCIÓN DEL TRANSPORTE",IF(AND(OR(C54="",C54="Elija Opción"),D54&gt;0),"ELIJA LA OPCIÓN DEL TRANSPORTE",IF(AND(OR(E51="",E51="Elija Opción"),F51&gt;0),"ELIJA LA OPCIÓN DEL TRANSPORTE",IF(AND(OR(E52="",E52="Elija Opción"),F52&gt;0),"ELIJA LA OPCIÓN DEL TRANSPORTE",IF(AND(OR(E53="",E53="Elija Opción"),F53&gt;0),"ELIJA LA OPCIÓN DEL TRANSPORTE",IF(AND(OR(E51="",E54="Elija Opción"),F54&gt;0),"ELIJA LA OPCIÓN DEL TRANSPORTE",IF(AND(G50&gt;0,G49="",C55),"LIQUIDACIÓN NO VÁLIDA, INDIQUE LA MATRICULA","TOTAL LOCOMOCIÓN")))))))))</f>
        <v>TOTAL LOCOMOCIÓN</v>
      </c>
      <c r="E55" s="935"/>
      <c r="F55" s="935"/>
      <c r="G55" s="935"/>
      <c r="H55" s="96" t="str">
        <f>IF(D75&lt;&gt;"","",IF(E76&lt;&gt;D12,"",IF(OR(H39="Falta indicar los días",H42="Falta indicar las noches",H24="Falta indicar los días",H27="Falta indicar las noches",H28="Falta indicar las noches",H43="Falta indicar las noches",D55="ELIJA LA OPCIÓN DEL TRANSPORTE",D55="LIQUIDACIÓN NO VÁLIDA, INDIQUE LA MÁTRICULA"),0,SUM(G50:G54))))</f>
        <v/>
      </c>
      <c r="M55" s="277" t="s">
        <v>154</v>
      </c>
      <c r="V55" s="323"/>
      <c r="W55" s="325"/>
      <c r="X55" s="326" t="str">
        <f t="shared" si="37"/>
        <v/>
      </c>
      <c r="Z55" s="921" t="s">
        <v>149</v>
      </c>
      <c r="AA55" s="922"/>
      <c r="AB55" s="405">
        <f t="shared" si="30"/>
        <v>0</v>
      </c>
      <c r="AC55" s="328" t="s">
        <v>349</v>
      </c>
      <c r="AD55" s="921" t="str">
        <f t="shared" si="31"/>
        <v/>
      </c>
      <c r="AE55" s="922"/>
      <c r="AH55" s="921" t="s">
        <v>149</v>
      </c>
      <c r="AI55" s="922"/>
      <c r="AJ55" s="418">
        <f t="shared" si="32"/>
        <v>0</v>
      </c>
      <c r="AK55" s="415" t="str">
        <f t="shared" si="33"/>
        <v/>
      </c>
      <c r="CS55" s="484"/>
      <c r="CT55" s="1023" t="str">
        <f>IF(D75&lt;&gt;"","",IF(E76&lt;&gt;D12,"",IF(OR(D75,B83&lt;&gt;""),"",D55)))</f>
        <v/>
      </c>
      <c r="CU55" s="1023"/>
      <c r="CV55" s="1023"/>
      <c r="CW55" s="1023"/>
      <c r="CX55" s="96" t="str">
        <f>IF(D75&lt;&gt;"","",IF(E76&lt;&gt;D12,"",IF(OR(D75,B83&lt;&gt;""),"",H55)))</f>
        <v/>
      </c>
    </row>
    <row r="56" spans="2:102" ht="13.8" x14ac:dyDescent="0.25">
      <c r="B56" s="88" t="s">
        <v>415</v>
      </c>
      <c r="C56" s="45" t="s">
        <v>131</v>
      </c>
      <c r="D56" s="229" t="str">
        <f>IF(D16="","",D16)</f>
        <v/>
      </c>
      <c r="E56" s="57" t="s">
        <v>132</v>
      </c>
      <c r="F56" s="230" t="str">
        <f>IF(F16="","",F16)</f>
        <v/>
      </c>
      <c r="G56" s="32"/>
      <c r="H56" s="59"/>
      <c r="M56" s="290" t="s">
        <v>159</v>
      </c>
      <c r="V56" s="323" t="str">
        <f t="shared" ref="V56:V57" si="38">IF(W56="","",E53)</f>
        <v/>
      </c>
      <c r="W56" s="325" t="str">
        <f>IF(F53=0,"",F53)</f>
        <v/>
      </c>
      <c r="X56" s="326" t="str">
        <f t="shared" si="37"/>
        <v/>
      </c>
      <c r="Z56" s="921" t="s">
        <v>139</v>
      </c>
      <c r="AA56" s="922"/>
      <c r="AB56" s="405">
        <f t="shared" si="30"/>
        <v>0</v>
      </c>
      <c r="AC56" s="328" t="s">
        <v>349</v>
      </c>
      <c r="AD56" s="921" t="str">
        <f t="shared" si="31"/>
        <v/>
      </c>
      <c r="AE56" s="922"/>
      <c r="AH56" s="921" t="s">
        <v>139</v>
      </c>
      <c r="AI56" s="922"/>
      <c r="AJ56" s="418">
        <f t="shared" si="32"/>
        <v>0</v>
      </c>
      <c r="AK56" s="415" t="str">
        <f t="shared" si="33"/>
        <v/>
      </c>
      <c r="CR56" s="9" t="str">
        <f>IF(D75&lt;&gt;"","",IF(E76&lt;&gt;D12,"",IF(OR(D75,B83&lt;&gt;""),"",B56)))</f>
        <v/>
      </c>
      <c r="CS56" s="19" t="str">
        <f>IF(D75&lt;&gt;"","",IF(E76&lt;&gt;D12,"",IF(OR(D75,B83&lt;&gt;""),"",C56)))</f>
        <v/>
      </c>
      <c r="CT56" s="485" t="str">
        <f>IF(D75&lt;&gt;"","",IF(E76&lt;&gt;D12,"",IF(OR(D75,B83&lt;&gt;""),"",D56)))</f>
        <v/>
      </c>
      <c r="CU56" s="486" t="str">
        <f>IF(D75&lt;&gt;"","",IF(E76&lt;&gt;D12,"",IF(OR(D75,B83&lt;&gt;""),"",E56)))</f>
        <v/>
      </c>
      <c r="CV56" s="485" t="str">
        <f>IF(D75&lt;&gt;"","",IF(E76&lt;&gt;D12,"",IF(OR(D75,B83&lt;&gt;""),"",F56)))</f>
        <v/>
      </c>
      <c r="CW56" s="32"/>
      <c r="CX56" s="59"/>
    </row>
    <row r="57" spans="2:102" ht="13.8" x14ac:dyDescent="0.25">
      <c r="B57" s="1119" t="s">
        <v>633</v>
      </c>
      <c r="C57" s="1119"/>
      <c r="D57" s="1119"/>
      <c r="E57" s="1119"/>
      <c r="F57" s="710">
        <v>0</v>
      </c>
      <c r="G57" s="710">
        <v>0</v>
      </c>
      <c r="H57" s="97">
        <f>SUM(F57:G57)</f>
        <v>0</v>
      </c>
      <c r="L57" s="279">
        <v>0</v>
      </c>
      <c r="M57" s="290" t="s">
        <v>160</v>
      </c>
      <c r="V57" s="323" t="str">
        <f t="shared" si="38"/>
        <v/>
      </c>
      <c r="W57" s="325" t="str">
        <f>IF(F54=0,"",F54)</f>
        <v/>
      </c>
      <c r="X57" s="326" t="str">
        <f t="shared" si="37"/>
        <v/>
      </c>
      <c r="Z57" s="921" t="s">
        <v>140</v>
      </c>
      <c r="AA57" s="922"/>
      <c r="AB57" s="405">
        <f t="shared" si="30"/>
        <v>0</v>
      </c>
      <c r="AC57" s="328" t="s">
        <v>349</v>
      </c>
      <c r="AD57" s="921" t="str">
        <f t="shared" si="31"/>
        <v/>
      </c>
      <c r="AE57" s="922"/>
      <c r="AH57" s="921" t="s">
        <v>140</v>
      </c>
      <c r="AI57" s="922"/>
      <c r="AJ57" s="418">
        <f t="shared" si="32"/>
        <v>0</v>
      </c>
      <c r="AK57" s="415" t="str">
        <f t="shared" si="33"/>
        <v/>
      </c>
      <c r="CR57" s="1024" t="str">
        <f>IF(D75&lt;&gt;"","",IF(E76&lt;&gt;D12,"",IF(OR(D75,B83&lt;&gt;""),"",B57)))</f>
        <v/>
      </c>
      <c r="CS57" s="1024"/>
      <c r="CT57" s="1024"/>
      <c r="CU57" s="1024"/>
      <c r="CV57" s="446" t="str">
        <f>IF(D75&lt;&gt;"","",IF(E76&lt;&gt;D12,"",IF(OR(D75,B83&lt;&gt;""),"",F57)))</f>
        <v/>
      </c>
      <c r="CW57" s="446" t="str">
        <f>IF(D75&lt;&gt;"","",IF(E76&lt;&gt;D12,"",IF(OR(D75,B83&lt;&gt;""),"",G57)))</f>
        <v/>
      </c>
      <c r="CX57" s="487" t="str">
        <f>IF(D75&lt;&gt;"","",IF(E76&lt;&gt;D12,"",IF(OR(D75,B83&lt;&gt;""),"",H57)))</f>
        <v/>
      </c>
    </row>
    <row r="58" spans="2:102" ht="13.8" x14ac:dyDescent="0.25">
      <c r="B58" s="926" t="s">
        <v>127</v>
      </c>
      <c r="C58" s="926"/>
      <c r="D58" s="926"/>
      <c r="E58" s="926"/>
      <c r="F58" s="156">
        <v>0</v>
      </c>
      <c r="G58" s="156">
        <v>0</v>
      </c>
      <c r="H58" s="157">
        <f>SUM(F58:G58)</f>
        <v>0</v>
      </c>
      <c r="L58" s="279">
        <v>99999.99</v>
      </c>
      <c r="V58" s="324" t="str">
        <f>IF(W58="","","vehiculo particular")</f>
        <v/>
      </c>
      <c r="W58" s="325" t="str">
        <f>IF(G50=0,"",G50)</f>
        <v/>
      </c>
      <c r="X58" s="326" t="str">
        <f t="shared" si="37"/>
        <v/>
      </c>
      <c r="Z58" s="921" t="s">
        <v>136</v>
      </c>
      <c r="AA58" s="922"/>
      <c r="AB58" s="405">
        <f t="shared" si="30"/>
        <v>0</v>
      </c>
      <c r="AC58" s="328" t="s">
        <v>349</v>
      </c>
      <c r="AD58" s="921" t="str">
        <f t="shared" si="31"/>
        <v/>
      </c>
      <c r="AE58" s="922"/>
      <c r="AH58" s="921" t="s">
        <v>136</v>
      </c>
      <c r="AI58" s="922"/>
      <c r="AJ58" s="418">
        <f t="shared" si="32"/>
        <v>0</v>
      </c>
      <c r="AK58" s="415" t="str">
        <f t="shared" si="33"/>
        <v/>
      </c>
      <c r="CR58" s="1011" t="str">
        <f>IF(D75&lt;&gt;"","",IF(E76&lt;&gt;D12,"",IF(OR(D75,B83&lt;&gt;""),"",B58)))</f>
        <v/>
      </c>
      <c r="CS58" s="1011"/>
      <c r="CT58" s="1011"/>
      <c r="CU58" s="1011"/>
      <c r="CV58" s="488" t="str">
        <f>IF(D75&lt;&gt;"","",IF(E76&lt;&gt;D12,"",IF(OR(D75,B83&lt;&gt;""),"",F58)))</f>
        <v/>
      </c>
      <c r="CW58" s="489" t="str">
        <f>IF(D75&lt;&gt;"","",IF(E76&lt;&gt;D12,"",IF(OR(D75,B83&lt;&gt;""),"",G58)))</f>
        <v/>
      </c>
      <c r="CX58" s="490" t="str">
        <f>IF(D75&lt;&gt;"","",IF(E76&lt;&gt;D12,"",IF(OR(D75,B83&lt;&gt;""),"",H58)))</f>
        <v/>
      </c>
    </row>
    <row r="59" spans="2:102" ht="15.6" x14ac:dyDescent="0.3">
      <c r="B59" s="927" t="s">
        <v>161</v>
      </c>
      <c r="C59" s="927"/>
      <c r="D59" s="928" t="s">
        <v>154</v>
      </c>
      <c r="E59" s="928"/>
      <c r="F59" s="858" t="s">
        <v>630</v>
      </c>
      <c r="G59" s="258"/>
      <c r="H59" s="86"/>
      <c r="V59" s="329" t="s">
        <v>252</v>
      </c>
      <c r="W59" s="330">
        <f>SUM(W50:W58)</f>
        <v>0</v>
      </c>
      <c r="X59" s="326" t="str">
        <f t="shared" si="37"/>
        <v>€</v>
      </c>
      <c r="Z59" s="921" t="s">
        <v>151</v>
      </c>
      <c r="AA59" s="922"/>
      <c r="AB59" s="405">
        <f t="shared" si="30"/>
        <v>0</v>
      </c>
      <c r="AC59" s="328" t="s">
        <v>349</v>
      </c>
      <c r="AD59" s="921" t="str">
        <f t="shared" si="31"/>
        <v/>
      </c>
      <c r="AE59" s="922"/>
      <c r="AH59" s="921" t="s">
        <v>151</v>
      </c>
      <c r="AI59" s="922"/>
      <c r="AJ59" s="419">
        <f t="shared" si="32"/>
        <v>0</v>
      </c>
      <c r="AK59" s="416" t="str">
        <f t="shared" si="33"/>
        <v/>
      </c>
      <c r="CR59" s="1025" t="str">
        <f>IF(D75&lt;&gt;"","",IF(E76&lt;&gt;D12,"",IF(OR(D75,B83&lt;&gt;""),"",B59)))</f>
        <v/>
      </c>
      <c r="CS59" s="1025"/>
      <c r="CT59" s="1015" t="str">
        <f>IF(D75&lt;&gt;"","",IF(E76&lt;&gt;D12,"",IF(OR(D75,B83&lt;&gt;""),"",D59)))</f>
        <v/>
      </c>
      <c r="CU59" s="1015"/>
      <c r="CV59" s="163"/>
      <c r="CW59" s="491"/>
      <c r="CX59" s="86"/>
    </row>
    <row r="60" spans="2:102" ht="13.8" x14ac:dyDescent="0.25">
      <c r="B60" s="1118" t="str">
        <f>IF(OR(D59="Elija la Opción    ▼",D59=""),"Es obligatorio responder a esta pregunta","")</f>
        <v>Es obligatorio responder a esta pregunta</v>
      </c>
      <c r="C60" s="1118"/>
      <c r="D60" s="1117" t="str">
        <f>IF(AND(D59="SÍ",G60=""),"Indique el Nº de la Orden de Pago",IF(AND(D59="SÍ",G60&lt;&gt;""),"Nºde la Orden de Pago",""))</f>
        <v/>
      </c>
      <c r="E60" s="1117"/>
      <c r="F60" s="1117"/>
      <c r="G60" s="259"/>
      <c r="H60" s="86"/>
      <c r="V60" s="276" t="str">
        <f>IF(W59&lt;&gt;0,V50 &amp;" "  &amp; W50&amp;X50&amp;" " &amp;V51 &amp;" " &amp;W51&amp;X51&amp;"  " &amp; V52 &amp;W52&amp;X52&amp;"  " &amp; V53 &amp; W53&amp;X53&amp;"  "&amp;V54  &amp; W54&amp;X54&amp;"  "&amp; V55  &amp; W55&amp;X55&amp;" "&amp; V56 &amp;W56&amp;X56&amp; " " &amp;V57&amp; W57&amp;X57&amp;" " &amp;V58&amp;W58&amp;X58,"")</f>
        <v/>
      </c>
      <c r="AC60" s="327" t="str">
        <f>IF(W59&lt;&gt;0,AD48&amp;""&amp;AD49&amp;""&amp;AD47&amp;""&amp;AD50&amp;""&amp;AD51&amp;""&amp;AD52&amp;""&amp;AD53&amp;""&amp;AD54&amp;""&amp;AD55&amp;""&amp;AD56&amp;""&amp;AD57&amp;""&amp;AD58&amp;""&amp;AD59,"")</f>
        <v/>
      </c>
      <c r="AD60" s="327"/>
      <c r="AE60" s="327"/>
      <c r="AF60" s="327"/>
      <c r="AG60" s="327"/>
      <c r="AH60" s="327" t="str">
        <f>IF(AG50&gt;0,AK48&amp;" "&amp;AK49&amp;" "&amp;AK50&amp;" "&amp;AK51&amp;" "&amp;AK52&amp;" "&amp;AK53&amp;" "&amp;AK54&amp;" "&amp;AK55&amp;" "&amp;AK56&amp;" "&amp;AK57&amp;" "&amp;AK58&amp;" "&amp;AK59,"")</f>
        <v/>
      </c>
      <c r="AI60" s="327"/>
      <c r="AJ60" s="327"/>
      <c r="AK60" s="331"/>
      <c r="AL60" s="331"/>
      <c r="AM60" s="331"/>
      <c r="AN60" s="331"/>
      <c r="AO60" s="331"/>
      <c r="AP60" s="331"/>
      <c r="AQ60" s="331"/>
      <c r="AR60" s="332"/>
      <c r="AS60" s="332"/>
      <c r="AT60" s="332"/>
      <c r="CR60" s="1011"/>
      <c r="CS60" s="1011"/>
      <c r="CT60" s="1012" t="str">
        <f>IF(D75&lt;&gt;"","",IF(E76&lt;&gt;D12,"",IF(OR(D75,B83&lt;&gt;""),"",D60)))</f>
        <v/>
      </c>
      <c r="CU60" s="1012"/>
      <c r="CV60" s="1012"/>
      <c r="CW60" s="492" t="str">
        <f>IF(G60="","",IF(E76&lt;&gt;D12,"",IF(OR(D75,B83&lt;&gt;""),"",G60)))</f>
        <v/>
      </c>
      <c r="CX60" s="86"/>
    </row>
    <row r="61" spans="2:102" ht="13.8" x14ac:dyDescent="0.25">
      <c r="B61" s="141"/>
      <c r="C61" s="161"/>
      <c r="D61" s="926" t="str">
        <f>IF(E76&lt;&gt;D12,"",IF(D75&lt;&gt;"","","EL  GASTO  TOTAL DE  ESTE  VIAJE  ASCIENDE  A:"))</f>
        <v/>
      </c>
      <c r="E61" s="926"/>
      <c r="F61" s="926"/>
      <c r="G61" s="926"/>
      <c r="H61" s="99">
        <f>IF(E76&lt;&gt;D12,0,IF(D75&lt;&gt;"",0,SUM(G47+H55+H57+H58)))</f>
        <v>0</v>
      </c>
      <c r="V61" s="321" t="str">
        <f>IF(W59&lt;&gt;0,V50 &amp; " " &amp;V51 &amp;" " &amp; V52 &amp;" " &amp; V53 &amp; " "&amp;V54  &amp; " "&amp; V55  &amp; " "&amp; V56 &amp; " " &amp;V57&amp; " " &amp;V58,"")</f>
        <v/>
      </c>
      <c r="W61" s="269" t="str">
        <f>IF(W59&lt;&gt;0,W50&amp;X50 &amp; " " &amp;W51&amp;X51 &amp;" " &amp; W52 &amp;X52&amp;" " &amp; W53&amp;X53 &amp; " "&amp;W54&amp;X54  &amp; " "&amp;WV55 &amp;X55 &amp; " "&amp;W56&amp;X56 &amp; " " &amp;W57&amp;X57&amp; " " &amp;W58&amp;X58,"")</f>
        <v/>
      </c>
      <c r="CR61" s="192"/>
      <c r="CS61" s="493"/>
      <c r="CT61" s="1011" t="str">
        <f>IF(D75&lt;&gt;"","",IF(E76&lt;&gt;D12,"",IF(OR(D75,B83&lt;&gt;""),"",D61)))</f>
        <v/>
      </c>
      <c r="CU61" s="1011"/>
      <c r="CV61" s="1011"/>
      <c r="CW61" s="1011"/>
      <c r="CX61" s="487" t="str">
        <f>IF(D75&lt;&gt;"","",IF(E76&lt;&gt;D12,"",IF(OR(D75,B83&lt;&gt;""),"",H61)))</f>
        <v/>
      </c>
    </row>
    <row r="62" spans="2:102" x14ac:dyDescent="0.25">
      <c r="B62" s="34"/>
      <c r="C62" s="34"/>
      <c r="D62" s="34"/>
      <c r="E62" s="34"/>
      <c r="F62" s="34"/>
      <c r="G62" s="32"/>
      <c r="H62" s="94"/>
      <c r="L62" s="276" t="s">
        <v>212</v>
      </c>
      <c r="V62" s="276" t="s">
        <v>281</v>
      </c>
      <c r="W62" s="271">
        <f>F57+F58</f>
        <v>0</v>
      </c>
      <c r="AA62" s="327" t="s">
        <v>353</v>
      </c>
      <c r="AB62" s="327" t="s">
        <v>358</v>
      </c>
      <c r="CR62" s="188"/>
      <c r="CS62" s="188"/>
      <c r="CT62" s="188"/>
      <c r="CU62" s="188"/>
      <c r="CV62" s="188"/>
      <c r="CW62" s="32"/>
      <c r="CX62" s="86"/>
    </row>
    <row r="63" spans="2:102" ht="15.6" x14ac:dyDescent="0.3">
      <c r="B63" s="938" t="str">
        <f>IF(E76&lt;&gt;D12,"",IF(D75&lt;&gt;"","",IF(D12="","","LIQUIDACION A FAVOR DE: "&amp;((D12)))))</f>
        <v/>
      </c>
      <c r="C63" s="938"/>
      <c r="D63" s="938"/>
      <c r="E63" s="938"/>
      <c r="F63" s="938"/>
      <c r="G63" s="938"/>
      <c r="H63" s="97">
        <f>IF(E76&lt;&gt;D12,0,IF(D75&lt;&gt;"",0,L63))</f>
        <v>0</v>
      </c>
      <c r="L63" s="285">
        <f>(H61-H64)</f>
        <v>0</v>
      </c>
      <c r="M63" s="285"/>
      <c r="N63" s="279"/>
      <c r="O63" s="285"/>
      <c r="V63" s="324" t="str">
        <f>B44</f>
        <v/>
      </c>
      <c r="W63" s="336">
        <f>C44</f>
        <v>0</v>
      </c>
      <c r="X63" s="326" t="str">
        <f>D44</f>
        <v/>
      </c>
      <c r="Y63" s="326" t="s">
        <v>259</v>
      </c>
      <c r="Z63" s="325" t="str">
        <f>E44</f>
        <v/>
      </c>
      <c r="AA63" s="326" t="str">
        <f>F44</f>
        <v/>
      </c>
      <c r="AB63" s="325" t="str">
        <f>G44</f>
        <v/>
      </c>
      <c r="AC63" s="326" t="str">
        <f>IF(AB63&lt;&gt;"","€;","")</f>
        <v/>
      </c>
      <c r="CR63" s="1013" t="str">
        <f>IF(D75&lt;&gt;"","",IF(E76&lt;&gt;D12,"",IF(OR(D75,B83&lt;&gt;""),"",B63)))</f>
        <v/>
      </c>
      <c r="CS63" s="1013"/>
      <c r="CT63" s="1013"/>
      <c r="CU63" s="1013"/>
      <c r="CV63" s="1013"/>
      <c r="CW63" s="1013"/>
      <c r="CX63" s="487" t="str">
        <f>IF(D75&lt;&gt;"","",IF(E76&lt;&gt;D12,"",IF(OR(D75,B83&lt;&gt;""),"",H63)))</f>
        <v/>
      </c>
    </row>
    <row r="64" spans="2:102" ht="17.399999999999999" x14ac:dyDescent="0.3">
      <c r="B64" s="1131" t="str">
        <f>IF(E76&lt;&gt;D12,"",IF(D75&lt;&gt;"","",IF(H64&lt;&gt;"","Pagos a favor de Terceros: ","")))</f>
        <v/>
      </c>
      <c r="C64" s="1131"/>
      <c r="D64" s="1131"/>
      <c r="E64" s="1131"/>
      <c r="F64" s="1131"/>
      <c r="G64" s="1131"/>
      <c r="H64" s="224">
        <f>IF(E76&lt;&gt;D12,0,IF(D75&lt;&gt;"",0,G25+G40+G52+H58))</f>
        <v>0</v>
      </c>
      <c r="L64" s="898"/>
      <c r="M64" s="285"/>
      <c r="V64" s="324" t="s">
        <v>283</v>
      </c>
      <c r="W64" s="342">
        <f>SUM(G41:G44)</f>
        <v>0</v>
      </c>
      <c r="X64" s="326"/>
      <c r="Y64" s="326"/>
      <c r="Z64" s="326"/>
      <c r="AA64" s="326"/>
      <c r="AB64" s="326"/>
      <c r="AC64" s="348"/>
      <c r="CR64" s="1014" t="str">
        <f>IF(D75&lt;&gt;"","",IF(E76&lt;&gt;D12,"",IF(OR(D75,B83&lt;&gt;""),"",B64)))</f>
        <v/>
      </c>
      <c r="CS64" s="1014"/>
      <c r="CT64" s="1014"/>
      <c r="CU64" s="1014"/>
      <c r="CV64" s="1014"/>
      <c r="CW64" s="1014"/>
      <c r="CX64" s="494" t="str">
        <f>IF(D75&lt;&gt;"","",IF(E76&lt;&gt;D12,"",IF(OR(D75,B83&lt;&gt;""),"",H64)))</f>
        <v/>
      </c>
    </row>
    <row r="65" spans="2:103" ht="15.6" x14ac:dyDescent="0.3">
      <c r="B65" s="261" t="s">
        <v>337</v>
      </c>
      <c r="C65" s="928" t="s">
        <v>154</v>
      </c>
      <c r="D65" s="928"/>
      <c r="E65" s="939" t="str">
        <f>IF(H63=0,"",IF(AND(C65="SÍ",D59="SÍ")," De los "&amp;TEXT((H63),"#.###,00 €")&amp;" a mi favor, ",IF(AND(C65="SÍ",D59="NO")," De los "&amp;TEXT((H63),"#.###,00 €")&amp;" a mi favor,  ","")))</f>
        <v/>
      </c>
      <c r="F65" s="939"/>
      <c r="G65" s="939"/>
      <c r="H65" s="98"/>
      <c r="V65" s="324" t="str">
        <f>B41</f>
        <v>1/2 manutención</v>
      </c>
      <c r="W65" s="336">
        <f>C41</f>
        <v>0</v>
      </c>
      <c r="X65" s="326" t="str">
        <f>D41</f>
        <v>día</v>
      </c>
      <c r="Y65" s="325" t="s">
        <v>259</v>
      </c>
      <c r="Z65" s="325" t="str">
        <f>E41</f>
        <v/>
      </c>
      <c r="AA65" s="326" t="str">
        <f>F41</f>
        <v>€/día</v>
      </c>
      <c r="AB65" s="335">
        <f>G41</f>
        <v>0</v>
      </c>
      <c r="AC65" s="326" t="str">
        <f>IF(AB65&lt;&gt;"","€;","")</f>
        <v>€;</v>
      </c>
      <c r="AD65" s="327" t="s">
        <v>354</v>
      </c>
      <c r="CR65" s="495" t="str">
        <f>IF(D75&lt;&gt;"","",IF(E76&lt;&gt;D12,"",IF(OR(D75,B83&lt;&gt;""),"",B65)))</f>
        <v/>
      </c>
      <c r="CS65" s="1015" t="str">
        <f>IF(D75&lt;&gt;"","",IF(E76&lt;&gt;D12,"",IF(OR(D75,B83&lt;&gt;""),"",C65)))</f>
        <v/>
      </c>
      <c r="CT65" s="1015"/>
      <c r="CU65" s="1016" t="str">
        <f>IF(D75&lt;&gt;"","",IF(E76&lt;&gt;D12,"",IF(OR(D75,B83&lt;&gt;""),"",E65)))</f>
        <v/>
      </c>
      <c r="CV65" s="1016"/>
      <c r="CW65" s="1016"/>
      <c r="CX65" s="496"/>
    </row>
    <row r="66" spans="2:103" ht="15.6" x14ac:dyDescent="0.3">
      <c r="B66" s="932" t="str">
        <f>IF(AND(D59="SÍ",C65="NO"),"HE SOLICITADO UN ANTICIPO Y NO DESEO RENUNCIAR",IF(H63=0,"",IF(AND(C65="SÍ",D59="SÍ")," solo quiero percibir por este viaje un total de: "&amp;TEXT((H66),"#.###,00 €")&amp;" (incluyendo el anticipo).",IF(AND(C65="SÍ",D59="NO")," solo quiero percibir por este viaje un total de: "&amp;TEXT((H66),"#.###,00 €"),""))))</f>
        <v/>
      </c>
      <c r="C66" s="932"/>
      <c r="D66" s="932"/>
      <c r="E66" s="932"/>
      <c r="F66" s="932"/>
      <c r="G66" s="932"/>
      <c r="H66" s="264"/>
      <c r="L66" s="243"/>
      <c r="V66" s="324" t="str">
        <f t="shared" ref="V66:V67" si="39">B42</f>
        <v/>
      </c>
      <c r="W66" s="336">
        <f t="shared" ref="W66:W67" si="40">C42</f>
        <v>0</v>
      </c>
      <c r="X66" s="326" t="str">
        <f t="shared" ref="X66:X67" si="41">D42</f>
        <v>día</v>
      </c>
      <c r="Y66" s="325" t="s">
        <v>259</v>
      </c>
      <c r="Z66" s="325">
        <f t="shared" ref="Z66:Z67" si="42">E42</f>
        <v>0</v>
      </c>
      <c r="AA66" s="326" t="str">
        <f t="shared" ref="AA66:AA67" si="43">F42</f>
        <v>€/día</v>
      </c>
      <c r="AB66" s="335">
        <f t="shared" ref="AB66:AB67" si="44">G42</f>
        <v>0</v>
      </c>
      <c r="AC66" s="326" t="str">
        <f>IF(AB66&lt;&gt;"","€;","")</f>
        <v>€;</v>
      </c>
      <c r="CR66" s="1017" t="str">
        <f>IF(D75&lt;&gt;"","",IF(E76&lt;&gt;D12,"",IF(OR(D75,B83&lt;&gt;""),"",B66)))</f>
        <v/>
      </c>
      <c r="CS66" s="1017"/>
      <c r="CT66" s="1017"/>
      <c r="CU66" s="1017"/>
      <c r="CV66" s="1017"/>
      <c r="CW66" s="1017"/>
      <c r="CX66" s="497" t="str">
        <f>IF(H66="","",IF(D75&lt;&gt;"","",IF(E76&lt;&gt;D12,"",IF(OR(D75,B83&lt;&gt;""),"",H66))))</f>
        <v/>
      </c>
    </row>
    <row r="67" spans="2:103" ht="15.6" customHeight="1" x14ac:dyDescent="0.25">
      <c r="B67" s="936" t="str">
        <f>IF(AND(C65="SÍ",H66=""),"INDIQUE EL IMPORTE TOTAL QUE DESEA PERCIBIR (EN LA CELDA DE COLOR GRIS)",IF(AND(C65="SÍ",H66&gt;H63),"SI RENUNCIA EL IMPORTE TIENE QUE SER MENOR DE: "&amp;TEXT((H63),"#.###,00 €"),IF(AND(C65="SÍ",H66=H63),"SI RENUNCIA EL IMPORTE TIENE QUE SER MENOR DE: "&amp;TEXT((H63),"#.###,00 €"),"")))</f>
        <v/>
      </c>
      <c r="C67" s="936"/>
      <c r="D67" s="936"/>
      <c r="E67" s="936"/>
      <c r="F67" s="936"/>
      <c r="G67" s="936"/>
      <c r="H67" s="95"/>
      <c r="L67" s="285"/>
      <c r="M67" s="276" t="str">
        <f>IF(L67=0,"En su liquidación","")</f>
        <v>En su liquidación</v>
      </c>
      <c r="V67" s="324" t="str">
        <f t="shared" si="39"/>
        <v>Manutención (según factura/Ticket)</v>
      </c>
      <c r="W67" s="336">
        <f t="shared" si="40"/>
        <v>0</v>
      </c>
      <c r="X67" s="326" t="str">
        <f t="shared" si="41"/>
        <v>día</v>
      </c>
      <c r="Y67" s="325" t="s">
        <v>259</v>
      </c>
      <c r="Z67" s="325">
        <f t="shared" si="42"/>
        <v>0</v>
      </c>
      <c r="AA67" s="326" t="str">
        <f t="shared" si="43"/>
        <v>€/día</v>
      </c>
      <c r="AB67" s="335">
        <f t="shared" si="44"/>
        <v>0</v>
      </c>
      <c r="AC67" s="326" t="str">
        <f>IF(AB67&lt;&gt;"","€;","")</f>
        <v>€;</v>
      </c>
      <c r="CR67" s="1006" t="str">
        <f>IF(D75&lt;&gt;"","",IF(E76&lt;&gt;D12,"",IF(OR(D75,B83&lt;&gt;""),"",B67)))</f>
        <v/>
      </c>
      <c r="CS67" s="1006"/>
      <c r="CT67" s="1006"/>
      <c r="CU67" s="1006"/>
      <c r="CV67" s="1006"/>
      <c r="CW67" s="1006"/>
      <c r="CX67" s="498"/>
    </row>
    <row r="68" spans="2:103" ht="15.6" x14ac:dyDescent="0.3">
      <c r="B68" s="71"/>
      <c r="C68" s="933"/>
      <c r="D68" s="934"/>
      <c r="E68" s="934"/>
      <c r="F68" s="934"/>
      <c r="G68" s="934"/>
      <c r="H68" s="900"/>
      <c r="V68" s="324" t="str">
        <f>IF(W64&gt;0, " Total manutención en T. Extranjero:"&amp;" "&amp;V69&amp;"  "&amp;TEXT((W64),"#.###,00 €")&amp;" desglosado en:"&amp;V70&amp;" "&amp;" "&amp;V71&amp;" "&amp;V72&amp;" "&amp;V73,"")</f>
        <v/>
      </c>
      <c r="W68" s="326"/>
      <c r="X68" s="326"/>
      <c r="Y68" s="326"/>
      <c r="Z68" s="326"/>
      <c r="AA68" s="326"/>
      <c r="AB68" s="326"/>
      <c r="AC68" s="326"/>
      <c r="CR68" s="899"/>
      <c r="CS68" s="996"/>
      <c r="CT68" s="996"/>
      <c r="CU68" s="996"/>
      <c r="CV68" s="996"/>
      <c r="CW68" s="996"/>
      <c r="CX68" s="494"/>
    </row>
    <row r="69" spans="2:103" x14ac:dyDescent="0.25">
      <c r="B69" s="28" t="str">
        <f>IF(E76&lt;&gt;D12,"",IF(D75&lt;&gt;"","","NOTA IMPORTANTE:"))</f>
        <v/>
      </c>
      <c r="V69" s="324" t="str">
        <f>IF(D37="ELIJA EL PAÍS          ▼","",D37)</f>
        <v/>
      </c>
      <c r="W69" s="335">
        <f>W64+W37</f>
        <v>0</v>
      </c>
      <c r="X69" s="326"/>
      <c r="Y69" s="326"/>
      <c r="Z69" s="326"/>
      <c r="AA69" s="326"/>
      <c r="AB69" s="326"/>
      <c r="AC69" s="349"/>
      <c r="AD69" s="921" t="str">
        <f>IF(B10="Ministerio","",IF(AB63&lt;&gt;0,W63&amp;" "&amp;X63&amp;" "&amp;Y63&amp;" "&amp;Z63&amp;$AA$62&amp;" "&amp;AB63&amp;AC63,""))</f>
        <v xml:space="preserve">0  a €/D </v>
      </c>
      <c r="AE69" s="940"/>
      <c r="AF69" s="940"/>
      <c r="AG69" s="922"/>
      <c r="CR69" s="28" t="str">
        <f>IF(D75&lt;&gt;"","",IF(E76&lt;&gt;D12,"",IF(OR(D75,B83&lt;&gt;""),"",B69)))</f>
        <v/>
      </c>
    </row>
    <row r="70" spans="2:103" x14ac:dyDescent="0.25">
      <c r="B70" s="1018" t="str">
        <f>IF(E76&lt;&gt;D12,"",IF(D75&lt;&gt;"","","Declaro que son ciertos los datos que figuran en la presente liquidación y que no he recibido cantidad alguna por estos mismos conceptos"))</f>
        <v/>
      </c>
      <c r="C70" s="1018"/>
      <c r="D70" s="1018"/>
      <c r="E70" s="1018"/>
      <c r="F70" s="1018"/>
      <c r="G70" s="1018"/>
      <c r="H70" s="1018"/>
      <c r="V70" s="943" t="str">
        <f>IF(AB65&lt;&gt;0,V65 &amp; " " &amp; W65 &amp;" " &amp; X65 &amp;" " &amp; Y65 &amp; " "&amp; Z65 &amp; " "&amp; AA65 &amp; " "&amp; AB65&amp;AC65,"")</f>
        <v/>
      </c>
      <c r="W70" s="944"/>
      <c r="X70" s="944"/>
      <c r="Y70" s="944"/>
      <c r="Z70" s="944"/>
      <c r="AA70" s="944"/>
      <c r="AB70" s="944"/>
      <c r="AC70" s="945"/>
      <c r="AD70" s="921" t="str">
        <f>IF(AB65&lt;&gt;0,W65&amp;" "&amp;X65&amp;" "&amp;AD65&amp;" "&amp;Y65&amp;" "&amp;Z65&amp;$AA$62&amp;" "&amp;AB65&amp;AC65,"")</f>
        <v/>
      </c>
      <c r="AE70" s="940"/>
      <c r="AF70" s="940"/>
      <c r="AG70" s="922"/>
      <c r="CR70" s="1018" t="str">
        <f>IF(D75&lt;&gt;"","",IF(E76&lt;&gt;D12,"",IF(OR(D75,B83&lt;&gt;""),"",B70)))</f>
        <v/>
      </c>
      <c r="CS70" s="1018"/>
      <c r="CT70" s="1018"/>
      <c r="CU70" s="1018"/>
      <c r="CV70" s="1018"/>
      <c r="CW70" s="1018"/>
      <c r="CX70" s="1018"/>
    </row>
    <row r="71" spans="2:103" x14ac:dyDescent="0.25">
      <c r="B71" s="1018" t="str">
        <f>IF(E76&lt;&gt;D12,"",IF(D75&lt;&gt;"","","por parte de otro organismo o entidad privada."))</f>
        <v/>
      </c>
      <c r="C71" s="1018"/>
      <c r="D71" s="1018"/>
      <c r="E71" s="1018"/>
      <c r="F71" s="1018"/>
      <c r="G71" s="1018"/>
      <c r="H71" s="1018"/>
      <c r="V71" s="943" t="str">
        <f>IF(AB66&lt;&gt;0,V66 &amp; " " &amp; W66 &amp;" " &amp; X66 &amp;" " &amp; Y66 &amp; " "&amp; Z66  &amp; " "&amp; AA66  &amp; " "&amp; AB66&amp;AC66,"")</f>
        <v/>
      </c>
      <c r="W71" s="944"/>
      <c r="X71" s="944"/>
      <c r="Y71" s="944"/>
      <c r="Z71" s="944"/>
      <c r="AA71" s="944"/>
      <c r="AB71" s="944"/>
      <c r="AC71" s="945"/>
      <c r="AD71" s="921" t="str">
        <f>IF(AB66&lt;&gt;0,W66&amp;" "&amp;X66&amp;" "&amp;AD66&amp;" "&amp;Y66&amp;" "&amp;Z66&amp;$AA$62&amp;" "&amp;AB66&amp;AC66,"")</f>
        <v/>
      </c>
      <c r="AE71" s="940"/>
      <c r="AF71" s="940"/>
      <c r="AG71" s="922"/>
      <c r="CR71" s="1018" t="str">
        <f>IF(D75&lt;&gt;"","",IF(E76&lt;&gt;D12,"",IF(OR(D75,B83&lt;&gt;""),"",B71)))</f>
        <v/>
      </c>
      <c r="CS71" s="1018"/>
      <c r="CT71" s="1018"/>
      <c r="CU71" s="1018"/>
      <c r="CV71" s="1018"/>
      <c r="CW71" s="1018"/>
      <c r="CX71" s="1018"/>
    </row>
    <row r="72" spans="2:103" x14ac:dyDescent="0.25">
      <c r="D72" s="937"/>
      <c r="E72" s="937"/>
      <c r="F72" s="937"/>
      <c r="G72" s="937"/>
      <c r="H72" s="18"/>
      <c r="V72" s="943" t="str">
        <f>IF(AB67&lt;&gt;0,V67 &amp; " " &amp; W67 &amp;" " &amp; X67 &amp;" " &amp; Y67 &amp; " "&amp; Z67  &amp; " "&amp; AA67  &amp; " "&amp; AB67&amp;AC67,"")</f>
        <v/>
      </c>
      <c r="W72" s="944"/>
      <c r="X72" s="944"/>
      <c r="Y72" s="944"/>
      <c r="Z72" s="944"/>
      <c r="AA72" s="944"/>
      <c r="AB72" s="944"/>
      <c r="AC72" s="945"/>
      <c r="AD72" s="921" t="str">
        <f>IF(AB67&lt;&gt;0,W67&amp;" "&amp;X67&amp;" "&amp;AD67&amp;" "&amp;Y67&amp;" "&amp;Z67&amp;$AA$62&amp;" "&amp;AB67&amp;AC67,"")</f>
        <v/>
      </c>
      <c r="AE72" s="940"/>
      <c r="AF72" s="940"/>
      <c r="AG72" s="922"/>
      <c r="CT72" s="1019"/>
      <c r="CU72" s="1019"/>
      <c r="CV72" s="1019"/>
      <c r="CW72" s="1019"/>
      <c r="CX72" s="499"/>
    </row>
    <row r="73" spans="2:103" x14ac:dyDescent="0.25">
      <c r="C73" s="42" t="s">
        <v>124</v>
      </c>
      <c r="D73" s="930"/>
      <c r="E73" s="931"/>
      <c r="F73" s="931"/>
      <c r="G73" s="931"/>
      <c r="H73" s="931"/>
      <c r="V73" s="941" t="str">
        <f>IF(OR(AB63="",AB63=0),"",V63 &amp; " " &amp; W63 &amp;" " &amp; X63 &amp;" " &amp;Y63 &amp; " "&amp; Z63  &amp; " "&amp; AA63  &amp; " "&amp; AB63&amp;AC63)</f>
        <v/>
      </c>
      <c r="W73" s="941"/>
      <c r="X73" s="941"/>
      <c r="Y73" s="941"/>
      <c r="Z73" s="941"/>
      <c r="AA73" s="941"/>
      <c r="AB73" s="941"/>
      <c r="AC73" s="942"/>
      <c r="AD73" s="328" t="str">
        <f>IF(W64&lt;&gt;0,AB62&amp;" "&amp;V69&amp;" "&amp;AD69&amp;" "&amp;AD70&amp;" "&amp;AD71&amp;" "&amp;AD72,"")</f>
        <v/>
      </c>
      <c r="AE73" s="328"/>
      <c r="AF73" s="328"/>
      <c r="AG73" s="328"/>
      <c r="CS73" s="42" t="str">
        <f>IF(D75&lt;&gt;"","",IF(E76&lt;&gt;D12,"",IF(OR(D75,B83&lt;&gt;""),"",C73)))</f>
        <v/>
      </c>
      <c r="CT73" s="994" t="str">
        <f>IF(D75&lt;&gt;"","",IF(E76&lt;&gt;D12,"",IF(OR(D75,B83&lt;&gt;""),"",D73)))</f>
        <v/>
      </c>
      <c r="CU73" s="994"/>
      <c r="CV73" s="994"/>
      <c r="CW73" s="994"/>
      <c r="CX73" s="994"/>
    </row>
    <row r="74" spans="2:103" x14ac:dyDescent="0.25">
      <c r="G74" s="21"/>
      <c r="V74" s="276" t="s">
        <v>287</v>
      </c>
      <c r="W74" s="271">
        <f>W19+W64</f>
        <v>0</v>
      </c>
      <c r="X74" s="269" t="str">
        <f>IF(W74&lt;&gt;"","€","")</f>
        <v>€</v>
      </c>
      <c r="AD74" s="328"/>
      <c r="AE74" s="328"/>
      <c r="AF74" s="328"/>
      <c r="AG74" s="328"/>
      <c r="CW74" s="500"/>
    </row>
    <row r="75" spans="2:103" x14ac:dyDescent="0.25">
      <c r="B75" s="136"/>
      <c r="C75" s="136"/>
      <c r="D75" s="929" t="str">
        <f>IF(B10=K1,K16,IF(D12="","LIQUIDACIÓN NO VÁLIDA, ESCRIBA SU NOMBRE Y APELLIDOS",IF(H12=""," LIQUIDACIÓN NO VÁLIDA, FALTA INDICAR EL D.N.I.",IF(C13="","LIQUIDACIÓN NO VÁLIDA, FALTA CUMPLIMENTAR LA VINCULACIÓN CON EL PROYECTO",IF(H13="","LIQUIDACIÓN NO VÁLIDA, FALTA INDICAR CUERPO O ESCALA",IF(C14="","LIQUIDACIÓN NO VÁLIDA, FALTA CUMPLIMENTAR LA ACTIVIDAD/EVENTO AL QUE ASISTE",IF(C15="","LIQUIDACIÓN NO VÁLIDA, FALTA CUMPLIMENTAR EL ITINERARIO",IF(H15="","LIQUIDACIÓN NO VÁLIDA, FALTA CUMPLIMENTAR EL LUGAR DE DESTINO",IF(D16="","LIQUIDACIÓN NO VÁLIDA, FALTA INDICAR LA FECHA DE INICIO DE LA ACTIVIDAD",IF(F16="","LIQUIDACIÓN NO VÁLIDA, FALTA INDICAR LA FECHA DE FIN DE LA ACTIVIDAD",IF(AND(K22&lt;&gt;0,C18=""),"LIQUIDACIÓN NO VÁLIDA, FALTA INDICAR LA FECHA DE SALIDA",IF(AND(K22&lt;&gt;0,C20=""),"LIQUIDACIÓN NO VÁLIDA, FALTA INDICAR LA FECHA DE REGRESO",IF(OR(B18="Falta indicar la hora",B20="Falta indicar la hora"),"LIQUIDACIÓN NO VÁLIDA, FALTA INDICAR LA HORA",IF(B22=K1,K15,IF(OR(H24="Falta indicar las noches",H25="Falta indicar las noches"),"LIQUIDACIÓN NO VÁLIDA, FALTA INDICAR LAS NOCHES",IF(H28="Falta indicar los días","LIQUIDACIÓN NO VÁLIDA, FALTA INDICAR LOS DÍAS",IF(AND(G46&lt;&gt;0,C33=""),"LIQUIDACIÓN NO VÁLIDA, FALTA INDICAR LA FECHA DESDE EN EL EXTRANJERO",IF(AND(G46&lt;&gt;0,C35=""),"LIQUIDACIÓN NO VÁLIDA, FALTA INDICAR LA FECHA HASTA EN EL EXTRANJERO",IF(OR(F33="Falta indicar la hora",F35="Falta indicar la hora"),"LIQUIDACIÓN NO VÁLIDA, FALTA INDICAR LA HORA",IF(OR(H39="Falta indicar las noches",H40="Falta indicar las noches"),"LIQUIDACIÓN NO VÁLIDA, FALTA INDICAR LAS NOCHES",IF(H43="Falta indicar los días","LIQUIDACIÓN NO VÁLIDA, FALTA INDICAR LOS DÍAS",IF(D55="LIQUIDACIÓN NO VÁLIDA, INDIQUE LA MATRICULA","INDIQUE LA MATRÍCULA",IF(D55="ELIJA LA OPCIÓN DEL TRANSPORTE","LIQUIDACIÓN NO VÁLIDA, FALTA INDICAR EL MEDIO DE TRANSPORTE",IF(D56=""," FALTA INDICAR LA FECHA DE INICIO DE LA ACTIVIDAD",IF(F56="","FALTA INDICAR LA FECHA DE FIN DE LA ACTIVIDAD","")))))))))))))))))))))))))</f>
        <v>LIQUIDACIÓN NO VÁLIDA, DEBE ELEGIR UNA OPCIÓN, MINISTERIO O JUNTA.</v>
      </c>
      <c r="E75" s="929"/>
      <c r="F75" s="929"/>
      <c r="G75" s="929"/>
      <c r="H75" s="929"/>
      <c r="V75" s="276" t="s">
        <v>285</v>
      </c>
      <c r="W75" s="271">
        <f>W10+W37</f>
        <v>0</v>
      </c>
      <c r="X75" s="269" t="str">
        <f t="shared" ref="X75:X77" si="45">IF(W75&lt;&gt;"","€","")</f>
        <v>€</v>
      </c>
      <c r="AD75" s="328"/>
      <c r="AE75" s="328"/>
      <c r="AF75" s="328"/>
      <c r="AG75" s="328"/>
      <c r="CR75" s="501"/>
      <c r="CS75" s="501"/>
      <c r="CT75" s="995"/>
      <c r="CU75" s="995"/>
      <c r="CV75" s="995"/>
      <c r="CW75" s="995"/>
      <c r="CX75" s="995"/>
    </row>
    <row r="76" spans="2:103" ht="13.8" x14ac:dyDescent="0.25">
      <c r="B76" s="9" t="str">
        <f>IF(E76&lt;&gt;D12,"",IF(D75&lt;&gt;"","","Vº.Bº Responsable del Gasto"))</f>
        <v/>
      </c>
      <c r="D76" s="9" t="str">
        <f>IF(E76&lt;&gt;D12,"","Fdo.:")</f>
        <v/>
      </c>
      <c r="E76" s="925" t="str">
        <f>IF(B60="Si no ha solicitado anticipo no inserte importe","SI NO HA SOLICITADO ANTICIPO NO INSERTE IMPORTE",IF(B60&lt;&gt;"","PARA OBTENER LOS CÁLCULOS, RESPONDA A LAS PREGUNTAS",IF(AND(D59="SÍ",G60=""),"INSERTE El Nº DE LA ORDEN DE PAGO",IF(OR(C65="",C65=M55),"ES OBLIGATORIO RESPONDER A LAS PREGUNTAS",IF(D73="","PARA OBTENER LOS CÁLCULOS INDIQUE LA FECHA DE LA LIQUIDACIÓN",D12)))))</f>
        <v>PARA OBTENER LOS CÁLCULOS, RESPONDA A LAS PREGUNTAS</v>
      </c>
      <c r="F76" s="925"/>
      <c r="G76" s="925"/>
      <c r="H76" s="925"/>
      <c r="V76" s="276" t="s">
        <v>286</v>
      </c>
      <c r="W76" s="270">
        <f>W59</f>
        <v>0</v>
      </c>
      <c r="X76" s="269" t="str">
        <f t="shared" si="45"/>
        <v>€</v>
      </c>
      <c r="AD76" s="328"/>
      <c r="AE76" s="328"/>
      <c r="AF76" s="328"/>
      <c r="AG76" s="328"/>
      <c r="CR76" s="9" t="str">
        <f>IF(D75&lt;&gt;"","",IF(E76&lt;&gt;D12,"",IF(OR(D75,B83&lt;&gt;""),"",B76)))</f>
        <v/>
      </c>
      <c r="CT76" s="9" t="str">
        <f>IF(D75&lt;&gt;"","",IF(E76&lt;&gt;D12,"",IF(OR(D75,B83&lt;&gt;""),"",D76)))</f>
        <v/>
      </c>
      <c r="CU76" s="925" t="str">
        <f>IF(D75&lt;&gt;"","",IF(E76&lt;&gt;D12,"",IF(OR(D75,B83&lt;&gt;""),"",E76)))</f>
        <v/>
      </c>
      <c r="CV76" s="925"/>
      <c r="CW76" s="925"/>
      <c r="CX76" s="925"/>
    </row>
    <row r="77" spans="2:103" x14ac:dyDescent="0.25">
      <c r="B77" s="1"/>
      <c r="E77" s="924"/>
      <c r="F77" s="924"/>
      <c r="G77" s="924"/>
      <c r="H77" s="29"/>
      <c r="V77" s="322" t="s">
        <v>288</v>
      </c>
      <c r="W77" s="271">
        <f>SUM(W74:W76)</f>
        <v>0</v>
      </c>
      <c r="X77" s="269" t="str">
        <f t="shared" si="45"/>
        <v>€</v>
      </c>
      <c r="CR77" s="19" t="str">
        <f>IF(D75&lt;&gt;"","",IF(E76&lt;&gt;D12,"",IF(OR(D75,B83&lt;&gt;""),"",B77)))</f>
        <v/>
      </c>
      <c r="CU77" s="924"/>
      <c r="CV77" s="924"/>
      <c r="CW77" s="924"/>
      <c r="CX77" s="185"/>
    </row>
    <row r="78" spans="2:103" ht="13.8" x14ac:dyDescent="0.25">
      <c r="B78" s="923" t="str">
        <f>IF(D73="","",IF(L81=0," En su liquidación de dietas no aparecen gastos de alojamiento. Si hubiera tramitado alguna orden de pago correspondiente a gastos ",""))</f>
        <v/>
      </c>
      <c r="C78" s="923"/>
      <c r="D78" s="923"/>
      <c r="E78" s="923"/>
      <c r="F78" s="923"/>
      <c r="G78" s="923"/>
      <c r="H78" s="923"/>
      <c r="I78" s="923"/>
      <c r="V78" s="276" t="str">
        <f>W77&amp; X77&amp;" "&amp;V77&amp;" "&amp;V74&amp;" "&amp;W74&amp;X74&amp;" "&amp;V75&amp;" "&amp;W75&amp;X75&amp;" "&amp;V76&amp;" "&amp;W76&amp;X76</f>
        <v>0€ Desglosado en: TOTAL MANUTENCIÓN 0€ TOTAL ALOJAMIENTO 0€ TOTAL LOCOMOCIÓN 0€</v>
      </c>
      <c r="CR78" s="996"/>
      <c r="CS78" s="996"/>
      <c r="CT78" s="996"/>
      <c r="CU78" s="996"/>
      <c r="CV78" s="997"/>
      <c r="CW78" s="997"/>
      <c r="CX78" s="997"/>
    </row>
    <row r="79" spans="2:103" s="681" customFormat="1" ht="14.25" customHeight="1" x14ac:dyDescent="0.25">
      <c r="B79" s="1128" t="str">
        <f>IF(D73="","",IF(L81=0," de alojamiento para esta actividad debe enviarnos copia de la misma e incluir los gastos de alojamiento en esta liquidación.",""))</f>
        <v/>
      </c>
      <c r="C79" s="1128"/>
      <c r="D79" s="1128"/>
      <c r="E79" s="1128"/>
      <c r="F79" s="1128"/>
      <c r="G79" s="1128"/>
      <c r="H79" s="1128"/>
      <c r="I79" s="1128"/>
      <c r="J79" s="675"/>
      <c r="K79" s="676"/>
      <c r="L79" s="676"/>
      <c r="M79" s="676"/>
      <c r="N79" s="676"/>
      <c r="O79" s="676"/>
      <c r="P79" s="676"/>
      <c r="Q79" s="676"/>
      <c r="R79" s="676"/>
      <c r="S79" s="676"/>
      <c r="T79" s="676"/>
      <c r="U79" s="677"/>
      <c r="V79" s="676"/>
      <c r="W79" s="678"/>
      <c r="X79" s="678"/>
      <c r="Y79" s="678"/>
      <c r="Z79" s="678"/>
      <c r="AA79" s="678"/>
      <c r="AB79" s="678"/>
      <c r="AC79" s="678"/>
      <c r="AD79" s="678"/>
      <c r="AE79" s="678"/>
      <c r="AF79" s="678"/>
      <c r="AG79" s="678"/>
      <c r="AH79" s="678"/>
      <c r="AI79" s="678"/>
      <c r="AJ79" s="678"/>
      <c r="AK79" s="679"/>
      <c r="AL79" s="679"/>
      <c r="AM79" s="679"/>
      <c r="AN79" s="679"/>
      <c r="AO79" s="679"/>
      <c r="AP79" s="679"/>
      <c r="AQ79" s="679"/>
      <c r="AR79" s="680"/>
      <c r="AS79" s="680"/>
      <c r="AT79" s="680"/>
      <c r="CR79" s="682"/>
      <c r="CS79" s="682"/>
      <c r="CT79" s="682"/>
      <c r="CU79" s="682"/>
      <c r="CV79" s="682"/>
      <c r="CW79" s="682"/>
      <c r="CX79" s="682"/>
      <c r="CY79" s="682"/>
    </row>
    <row r="80" spans="2:103" x14ac:dyDescent="0.25">
      <c r="B80" s="30"/>
      <c r="C80" s="22"/>
      <c r="D80" s="22"/>
      <c r="E80" s="22"/>
      <c r="F80" s="22"/>
      <c r="G80" s="22"/>
      <c r="H80" s="22"/>
      <c r="L80" s="669" t="s">
        <v>440</v>
      </c>
      <c r="CR80" s="30"/>
      <c r="CS80" s="260"/>
      <c r="CT80" s="1005"/>
      <c r="CU80" s="1005"/>
      <c r="CV80" s="1005"/>
      <c r="CW80" s="1005"/>
      <c r="CX80" s="1005"/>
    </row>
    <row r="81" spans="2:103" x14ac:dyDescent="0.25">
      <c r="B81" s="671"/>
      <c r="L81" s="670" t="str">
        <f>IFERROR(G23+G24+G25+G38+G39+G40," ")</f>
        <v xml:space="preserve"> </v>
      </c>
    </row>
    <row r="83" spans="2:103" ht="13.8" hidden="1" x14ac:dyDescent="0.25">
      <c r="B83" s="1129" t="str">
        <f>IF(OR(B18="Falta indicar la hora",B20="Falta indicar la hora"),"FALTA INDICAR LA HORA",IF(OR(H24="Falta indicar las noches",H25="Falta indicar las noches"),"FALTA INDICAR LAS NOCHES",IF(H28="Falta indicar los días","FALTA INDICAR LOS DÍAS",IF(AND(G46&lt;&gt;0,C33=""),"FALTA INDICAR LA FECHA DESDE",IF(AND(G46&lt;&gt;0,C35=""),"FALTA INDICAR LA FECHA HASTA ",IF(OR(F33="Falta indicar la hora",F35="Falta indicar la hora"),"FALTA INDICAR LA HORA",IF(OR(H39="Falta indicar las noches",H40="Falta indicar las noches"),"FALTA INDICAR LAS NOCHES",IF(H43="Falta indicar los días","FALTA INDICAR LOS DÍAS",IF(D55="LIQUIDACIÓN NO VÁLIDA, INDIQUE LA MATRICULA","INDIQUE LA MATRÍCULA",IF(D55="ELIJA LA OPCIÓN DEL TRANSPORTE","FALTA INDICAR EL MEDIO DE TRANSPORTE",IF(AND(C65="SÍ",H66=""),"INDIQUE EL IMPORTE TOTAL QUE DESEA PERCIBIR (EN LA CELDA DE COLOR GRIS)","")))))))))))</f>
        <v/>
      </c>
      <c r="C83" s="1129"/>
      <c r="D83" s="1129"/>
      <c r="E83" s="1129"/>
      <c r="F83" s="1129"/>
      <c r="G83" s="1129"/>
      <c r="H83" s="1129"/>
      <c r="I83" s="1129"/>
      <c r="CR83" s="1006"/>
      <c r="CS83" s="1006"/>
      <c r="CT83" s="1006"/>
      <c r="CU83" s="1006"/>
      <c r="CV83" s="1006"/>
      <c r="CW83" s="1006"/>
      <c r="CX83" s="1006"/>
      <c r="CY83" s="1006"/>
    </row>
    <row r="84" spans="2:103" ht="13.8" x14ac:dyDescent="0.25">
      <c r="B84" s="668"/>
      <c r="C84" s="248"/>
      <c r="L84" s="711">
        <v>1</v>
      </c>
      <c r="CS84" s="502"/>
    </row>
    <row r="85" spans="2:103" customFormat="1" x14ac:dyDescent="0.25">
      <c r="I85" s="114"/>
      <c r="J85" s="275"/>
      <c r="K85" s="276"/>
      <c r="L85" s="712">
        <v>999999</v>
      </c>
      <c r="M85" s="276"/>
      <c r="N85" s="276"/>
      <c r="O85" s="276"/>
      <c r="P85" s="276"/>
      <c r="Q85" s="276"/>
      <c r="R85" s="276"/>
      <c r="S85" s="276"/>
      <c r="T85" s="276"/>
      <c r="U85" s="243"/>
      <c r="V85" s="276"/>
      <c r="W85" s="243"/>
      <c r="X85" s="243"/>
      <c r="Y85" s="243"/>
      <c r="Z85" s="243"/>
      <c r="AA85" s="243"/>
      <c r="AB85" s="243"/>
      <c r="AC85" s="243"/>
      <c r="AD85" s="243"/>
      <c r="AE85" s="243"/>
      <c r="AF85" s="243"/>
      <c r="AG85" s="243"/>
      <c r="AH85" s="243"/>
      <c r="AI85" s="243"/>
      <c r="AJ85" s="243"/>
      <c r="AK85" s="241"/>
      <c r="AL85" s="241"/>
      <c r="AM85" s="241"/>
      <c r="AN85" s="241"/>
      <c r="AO85" s="241"/>
      <c r="AP85" s="241"/>
      <c r="AQ85" s="241"/>
      <c r="AR85" s="263"/>
      <c r="AS85" s="263"/>
      <c r="AT85" s="263"/>
      <c r="CR85" s="19"/>
      <c r="CS85" s="19"/>
      <c r="CT85" s="19"/>
      <c r="CU85" s="19"/>
      <c r="CV85" s="19"/>
      <c r="CW85" s="19"/>
      <c r="CX85" s="19"/>
      <c r="CY85" s="19"/>
    </row>
    <row r="86" spans="2:103" customFormat="1" ht="13.8" x14ac:dyDescent="0.25">
      <c r="B86" s="1006"/>
      <c r="C86" s="1006"/>
      <c r="D86" s="1006"/>
      <c r="E86" s="1006"/>
      <c r="F86" s="1006"/>
      <c r="G86" s="1006"/>
      <c r="H86" s="1006"/>
      <c r="I86" s="1006"/>
      <c r="J86" s="275"/>
      <c r="K86" s="276"/>
      <c r="L86" s="276"/>
      <c r="M86" s="276"/>
      <c r="N86" s="276"/>
      <c r="O86" s="276"/>
      <c r="P86" s="276"/>
      <c r="Q86" s="276"/>
      <c r="R86" s="276"/>
      <c r="S86" s="276"/>
      <c r="T86" s="276"/>
      <c r="U86" s="243"/>
      <c r="V86" s="276"/>
      <c r="W86" s="243"/>
      <c r="X86" s="243"/>
      <c r="Y86" s="243"/>
      <c r="Z86" s="243"/>
      <c r="AA86" s="243"/>
      <c r="AB86" s="243"/>
      <c r="AC86" s="243"/>
      <c r="AD86" s="243"/>
      <c r="AE86" s="243"/>
      <c r="AF86" s="243"/>
      <c r="AG86" s="243"/>
      <c r="AH86" s="243"/>
      <c r="AI86" s="243"/>
      <c r="AJ86" s="243"/>
      <c r="AK86" s="241"/>
      <c r="AL86" s="241"/>
      <c r="AM86" s="241"/>
      <c r="AN86" s="241"/>
      <c r="AO86" s="241"/>
      <c r="AP86" s="241"/>
      <c r="AQ86" s="241"/>
      <c r="AR86" s="263"/>
      <c r="AS86" s="263"/>
      <c r="AT86" s="263"/>
      <c r="CR86" s="1006"/>
      <c r="CS86" s="1006"/>
      <c r="CT86" s="1006"/>
      <c r="CU86" s="1006"/>
      <c r="CV86" s="1006"/>
      <c r="CW86" s="1006"/>
      <c r="CX86" s="1006"/>
      <c r="CY86" s="1006"/>
    </row>
    <row r="87" spans="2:103" customFormat="1" ht="17.399999999999999" hidden="1" x14ac:dyDescent="0.3">
      <c r="B87" s="1134"/>
      <c r="C87" s="1134"/>
      <c r="D87" s="1134"/>
      <c r="E87" s="1134"/>
      <c r="F87" s="1134"/>
      <c r="G87" s="1134"/>
      <c r="H87" s="459"/>
      <c r="I87" s="293"/>
      <c r="J87" s="275"/>
      <c r="K87" s="276"/>
      <c r="L87" s="276"/>
      <c r="M87" s="276"/>
      <c r="N87" s="276"/>
      <c r="O87" s="276"/>
      <c r="P87" s="276"/>
      <c r="Q87" s="276"/>
      <c r="R87" s="276"/>
      <c r="S87" s="276"/>
      <c r="T87" s="276"/>
      <c r="U87" s="243"/>
      <c r="V87" s="276"/>
      <c r="W87" s="243"/>
      <c r="X87" s="243"/>
      <c r="Y87" s="243"/>
      <c r="Z87" s="243"/>
      <c r="AA87" s="243"/>
      <c r="AB87" s="243"/>
      <c r="AC87" s="243"/>
      <c r="AD87" s="243"/>
      <c r="AE87" s="243"/>
      <c r="AF87" s="243"/>
      <c r="AG87" s="243"/>
      <c r="AH87" s="243"/>
      <c r="AI87" s="243"/>
      <c r="AJ87" s="243"/>
      <c r="AK87" s="241"/>
      <c r="AL87" s="241"/>
      <c r="AM87" s="241"/>
      <c r="AN87" s="241"/>
      <c r="AO87" s="241"/>
      <c r="AP87" s="241"/>
      <c r="AQ87" s="241"/>
      <c r="AR87" s="263"/>
      <c r="AS87" s="263"/>
      <c r="AT87" s="263"/>
      <c r="CR87" s="964" t="str">
        <f>IF($D$75&lt;&gt;"","",IF($E$76&lt;&gt;$D$12,"",IF($B$83&lt;&gt;"","","ES OBLIGATORIO PRESENTAR ESTE ANEXO JUNTO CON LA LIQUIDACIÓN DE DIETAS.")))</f>
        <v/>
      </c>
      <c r="CS87" s="964"/>
      <c r="CT87" s="964"/>
      <c r="CU87" s="964"/>
      <c r="CV87" s="964"/>
      <c r="CW87" s="964"/>
      <c r="CX87" s="964"/>
      <c r="CY87" s="964"/>
    </row>
    <row r="88" spans="2:103" customFormat="1" ht="13.8" hidden="1" x14ac:dyDescent="0.25">
      <c r="B88" s="1007"/>
      <c r="C88" s="1007"/>
      <c r="D88" s="1007"/>
      <c r="E88" s="1007"/>
      <c r="F88" s="1007"/>
      <c r="G88" s="1007"/>
      <c r="H88" s="1007"/>
      <c r="I88" s="1007"/>
      <c r="J88" s="275"/>
      <c r="K88" s="276"/>
      <c r="L88" s="276"/>
      <c r="M88" s="276"/>
      <c r="N88" s="276"/>
      <c r="O88" s="276"/>
      <c r="P88" s="276"/>
      <c r="Q88" s="276"/>
      <c r="R88" s="276"/>
      <c r="S88" s="276"/>
      <c r="T88" s="276"/>
      <c r="U88" s="243"/>
      <c r="V88" s="276"/>
      <c r="W88" s="243"/>
      <c r="X88" s="243"/>
      <c r="Y88" s="243"/>
      <c r="Z88" s="243"/>
      <c r="AA88" s="243"/>
      <c r="AB88" s="243"/>
      <c r="AC88" s="243"/>
      <c r="AD88" s="243"/>
      <c r="AE88" s="243"/>
      <c r="AF88" s="243"/>
      <c r="AG88" s="243"/>
      <c r="AH88" s="243"/>
      <c r="AI88" s="243"/>
      <c r="AJ88" s="243"/>
      <c r="AK88" s="241"/>
      <c r="AL88" s="241"/>
      <c r="AM88" s="241"/>
      <c r="AN88" s="241"/>
      <c r="AO88" s="241"/>
      <c r="AP88" s="241"/>
      <c r="AQ88" s="241"/>
      <c r="AR88" s="263"/>
      <c r="AS88" s="263"/>
      <c r="AT88" s="263"/>
      <c r="CR88" s="1007"/>
      <c r="CS88" s="1007"/>
      <c r="CT88" s="1007"/>
      <c r="CU88" s="1007"/>
      <c r="CV88" s="1007"/>
      <c r="CW88" s="1007"/>
      <c r="CX88" s="1007"/>
      <c r="CY88" s="1007"/>
    </row>
    <row r="89" spans="2:103" customFormat="1" hidden="1" x14ac:dyDescent="0.25">
      <c r="I89" s="114"/>
      <c r="J89" s="275"/>
      <c r="K89" s="276"/>
      <c r="L89" s="276"/>
      <c r="M89" s="276"/>
      <c r="N89" s="276"/>
      <c r="O89" s="276"/>
      <c r="P89" s="276"/>
      <c r="Q89" s="276"/>
      <c r="R89" s="276"/>
      <c r="S89" s="276"/>
      <c r="T89" s="276"/>
      <c r="U89" s="243"/>
      <c r="V89" s="276"/>
      <c r="W89" s="243"/>
      <c r="X89" s="243"/>
      <c r="Y89" s="243"/>
      <c r="Z89" s="243"/>
      <c r="AA89" s="243"/>
      <c r="AB89" s="243"/>
      <c r="AC89" s="243"/>
      <c r="AD89" s="243"/>
      <c r="AE89" s="243"/>
      <c r="AF89" s="243"/>
      <c r="AG89" s="243"/>
      <c r="AH89" s="243"/>
      <c r="AI89" s="243"/>
      <c r="AJ89" s="243"/>
      <c r="AK89" s="241"/>
      <c r="AL89" s="241"/>
      <c r="AM89" s="241"/>
      <c r="AN89" s="241"/>
      <c r="AO89" s="241"/>
      <c r="AP89" s="241"/>
      <c r="AQ89" s="241"/>
      <c r="AR89" s="263"/>
      <c r="AS89" s="263"/>
      <c r="AT89" s="263"/>
      <c r="CR89" s="19"/>
      <c r="CS89" s="19"/>
      <c r="CT89" s="19"/>
      <c r="CU89" s="19"/>
      <c r="CV89" s="19"/>
      <c r="CW89" s="19"/>
      <c r="CX89" s="19"/>
      <c r="CY89" s="19"/>
    </row>
    <row r="90" spans="2:103" customFormat="1" ht="15.9" hidden="1" customHeight="1" x14ac:dyDescent="0.25">
      <c r="D90" s="1124"/>
      <c r="E90" s="1124"/>
      <c r="F90" s="1124"/>
      <c r="I90" s="114"/>
      <c r="J90" s="275"/>
      <c r="K90" s="276"/>
      <c r="L90" s="276"/>
      <c r="M90" s="276"/>
      <c r="N90" s="276"/>
      <c r="O90" s="276"/>
      <c r="P90" s="276"/>
      <c r="Q90" s="276"/>
      <c r="R90" s="276"/>
      <c r="S90" s="276"/>
      <c r="T90" s="276"/>
      <c r="U90" s="243"/>
      <c r="V90" s="276"/>
      <c r="W90" s="243"/>
      <c r="X90" s="243"/>
      <c r="Y90" s="243"/>
      <c r="Z90" s="243"/>
      <c r="AA90" s="243"/>
      <c r="AB90" s="243"/>
      <c r="AC90" s="243"/>
      <c r="AD90" s="243"/>
      <c r="AE90" s="243"/>
      <c r="AF90" s="243"/>
      <c r="AG90" s="243"/>
      <c r="AH90" s="243"/>
      <c r="AI90" s="243"/>
      <c r="AJ90" s="243"/>
      <c r="AK90" s="241"/>
      <c r="AL90" s="241"/>
      <c r="AM90" s="241"/>
      <c r="AN90" s="241"/>
      <c r="AO90" s="241"/>
      <c r="AP90" s="241"/>
      <c r="AQ90" s="241"/>
      <c r="AR90" s="263"/>
      <c r="AS90" s="263"/>
      <c r="AT90" s="263"/>
      <c r="CR90" s="19"/>
      <c r="CS90" s="19"/>
      <c r="CT90" s="1008"/>
      <c r="CU90" s="1008"/>
      <c r="CV90" s="1008"/>
      <c r="CW90" s="19"/>
      <c r="CX90" s="19"/>
      <c r="CY90" s="19"/>
    </row>
    <row r="91" spans="2:103" customFormat="1" ht="12.75" hidden="1" customHeight="1" x14ac:dyDescent="0.25">
      <c r="H91" s="1132" t="s">
        <v>360</v>
      </c>
      <c r="I91" s="1132"/>
      <c r="J91" s="275"/>
      <c r="K91" s="276"/>
      <c r="L91" s="276"/>
      <c r="M91" s="276"/>
      <c r="N91" s="276"/>
      <c r="O91" s="276"/>
      <c r="P91" s="276"/>
      <c r="Q91" s="276"/>
      <c r="R91" s="276"/>
      <c r="S91" s="276"/>
      <c r="T91" s="276"/>
      <c r="U91" s="243"/>
      <c r="V91" s="276"/>
      <c r="W91" s="243"/>
      <c r="X91" s="243"/>
      <c r="Y91" s="243"/>
      <c r="Z91" s="243"/>
      <c r="AA91" s="243"/>
      <c r="AB91" s="243"/>
      <c r="AC91" s="243"/>
      <c r="AD91" s="243"/>
      <c r="AE91" s="243"/>
      <c r="AF91" s="243"/>
      <c r="AG91" s="243"/>
      <c r="AH91" s="243"/>
      <c r="AI91" s="243"/>
      <c r="AJ91" s="243"/>
      <c r="AK91" s="241"/>
      <c r="AL91" s="241"/>
      <c r="AM91" s="241"/>
      <c r="AN91" s="241"/>
      <c r="AO91" s="241"/>
      <c r="AP91" s="241"/>
      <c r="AQ91" s="241"/>
      <c r="AR91" s="263"/>
      <c r="AS91" s="263"/>
      <c r="AT91" s="263"/>
      <c r="CR91" s="19"/>
      <c r="CS91" s="19"/>
      <c r="CT91" s="19"/>
      <c r="CU91" s="19"/>
      <c r="CV91" s="19"/>
      <c r="CW91" s="19"/>
      <c r="CX91" s="1009" t="str">
        <f>IF($D$75&lt;&gt;"","",IF($E$76&lt;&gt;$D$12,"",IF($B$83&lt;&gt;"","","Hoja para la grabación.")))</f>
        <v/>
      </c>
      <c r="CY91" s="1009"/>
    </row>
    <row r="92" spans="2:103" customFormat="1" hidden="1" x14ac:dyDescent="0.25">
      <c r="H92" s="1133" t="s">
        <v>359</v>
      </c>
      <c r="I92" s="1133"/>
      <c r="J92" s="275"/>
      <c r="K92" s="276"/>
      <c r="L92" s="276"/>
      <c r="M92" s="276"/>
      <c r="N92" s="276"/>
      <c r="O92" s="276"/>
      <c r="P92" s="276"/>
      <c r="Q92" s="276"/>
      <c r="R92" s="276"/>
      <c r="S92" s="276"/>
      <c r="T92" s="276"/>
      <c r="U92" s="243"/>
      <c r="V92" s="276"/>
      <c r="W92" s="243"/>
      <c r="X92" s="243"/>
      <c r="Y92" s="243"/>
      <c r="Z92" s="243"/>
      <c r="AA92" s="243"/>
      <c r="AB92" s="243"/>
      <c r="AC92" s="243"/>
      <c r="AD92" s="243"/>
      <c r="AE92" s="243"/>
      <c r="AF92" s="243"/>
      <c r="AG92" s="243"/>
      <c r="AH92" s="243"/>
      <c r="AI92" s="243"/>
      <c r="AJ92" s="243"/>
      <c r="AK92" s="241"/>
      <c r="AL92" s="241"/>
      <c r="AM92" s="241"/>
      <c r="AN92" s="241"/>
      <c r="AO92" s="241"/>
      <c r="AP92" s="241"/>
      <c r="AQ92" s="241"/>
      <c r="AR92" s="263"/>
      <c r="AS92" s="263"/>
      <c r="AT92" s="263"/>
      <c r="CR92" s="19"/>
      <c r="CS92" s="19"/>
      <c r="CT92" s="19"/>
      <c r="CU92" s="19"/>
      <c r="CV92" s="19"/>
      <c r="CW92" s="19"/>
      <c r="CX92" s="1010" t="str">
        <f>IF($D$75&lt;&gt;"","",IF($E$76&lt;&gt;$D$12,"",IF($B$83&lt;&gt;"","","Adjunte esta hoja.")))</f>
        <v/>
      </c>
      <c r="CY92" s="1010"/>
    </row>
    <row r="93" spans="2:103" customFormat="1" ht="15" hidden="1" customHeight="1" x14ac:dyDescent="0.25">
      <c r="B93" s="317" t="str">
        <f>IF($D$75&lt;&gt;"","",IF($E$76&lt;&gt;$D$12,"",IF($B$83&lt;&gt;"","","¿Quién viaja?")))</f>
        <v/>
      </c>
      <c r="C93" s="1085" t="str">
        <f>IF($D$75&lt;&gt;"","",IF($E$76&lt;&gt;$D$12,"",IF($B$83&lt;&gt;"","",D12)))</f>
        <v/>
      </c>
      <c r="D93" s="1083"/>
      <c r="E93" s="1083"/>
      <c r="F93" s="1083"/>
      <c r="G93" s="1083"/>
      <c r="H93" s="1083"/>
      <c r="I93" s="1084"/>
      <c r="J93" s="275"/>
      <c r="K93" s="276"/>
      <c r="L93" s="276"/>
      <c r="M93" s="276"/>
      <c r="N93" s="276"/>
      <c r="O93" s="276"/>
      <c r="P93" s="276"/>
      <c r="Q93" s="276"/>
      <c r="R93" s="276"/>
      <c r="S93" s="276"/>
      <c r="T93" s="276"/>
      <c r="U93" s="243"/>
      <c r="V93" s="276"/>
      <c r="W93" s="243"/>
      <c r="X93" s="243"/>
      <c r="Y93" s="243"/>
      <c r="Z93" s="243"/>
      <c r="AA93" s="243"/>
      <c r="AB93" s="243"/>
      <c r="AC93" s="243"/>
      <c r="AD93" s="243"/>
      <c r="AE93" s="243"/>
      <c r="AF93" s="243"/>
      <c r="AG93" s="243"/>
      <c r="AH93" s="243"/>
      <c r="AI93" s="243"/>
      <c r="AJ93" s="243"/>
      <c r="AK93" s="241"/>
      <c r="AL93" s="241"/>
      <c r="AM93" s="241"/>
      <c r="AN93" s="241"/>
      <c r="AO93" s="241"/>
      <c r="AP93" s="241"/>
      <c r="AQ93" s="241"/>
      <c r="AR93" s="263"/>
      <c r="AS93" s="263"/>
      <c r="AT93" s="263"/>
      <c r="CR93" s="460" t="str">
        <f>IF($D$75&lt;&gt;"","",IF($E$76&lt;&gt;$D$12,"",IF($B$83&lt;&gt;"","",B93)))</f>
        <v/>
      </c>
      <c r="CS93" s="973" t="str">
        <f>IF($D$75&lt;&gt;"","",IF($E$76&lt;&gt;$D$12,"",IF($B$83&lt;&gt;"","",C93)))</f>
        <v/>
      </c>
      <c r="CT93" s="974"/>
      <c r="CU93" s="974"/>
      <c r="CV93" s="974"/>
      <c r="CW93" s="974"/>
      <c r="CX93" s="974"/>
      <c r="CY93" s="975"/>
    </row>
    <row r="94" spans="2:103" customFormat="1" ht="15" hidden="1" customHeight="1" x14ac:dyDescent="0.25">
      <c r="B94" s="318"/>
      <c r="C94" s="2"/>
      <c r="D94" s="2"/>
      <c r="E94" s="2"/>
      <c r="F94" s="2"/>
      <c r="G94" s="2"/>
      <c r="H94" s="2"/>
      <c r="I94" s="319"/>
      <c r="J94" s="275"/>
      <c r="K94" s="276"/>
      <c r="L94" s="276"/>
      <c r="M94" s="276"/>
      <c r="N94" s="276"/>
      <c r="O94" s="276"/>
      <c r="P94" s="276"/>
      <c r="Q94" s="276"/>
      <c r="R94" s="276"/>
      <c r="S94" s="276"/>
      <c r="T94" s="276"/>
      <c r="U94" s="243"/>
      <c r="V94" s="276"/>
      <c r="W94" s="243"/>
      <c r="X94" s="243"/>
      <c r="Y94" s="243"/>
      <c r="Z94" s="243"/>
      <c r="AA94" s="243"/>
      <c r="AB94" s="243"/>
      <c r="AC94" s="243"/>
      <c r="AD94" s="243"/>
      <c r="AE94" s="243"/>
      <c r="AF94" s="243"/>
      <c r="AG94" s="243"/>
      <c r="AH94" s="243"/>
      <c r="AI94" s="243"/>
      <c r="AJ94" s="243"/>
      <c r="AK94" s="241"/>
      <c r="AL94" s="241"/>
      <c r="AM94" s="241"/>
      <c r="AN94" s="241"/>
      <c r="AO94" s="241"/>
      <c r="AP94" s="241"/>
      <c r="AQ94" s="241"/>
      <c r="AR94" s="263"/>
      <c r="AS94" s="263"/>
      <c r="AT94" s="263"/>
      <c r="CR94" s="439"/>
      <c r="CS94" s="131"/>
      <c r="CT94" s="131"/>
      <c r="CU94" s="131"/>
      <c r="CV94" s="131"/>
      <c r="CW94" s="131"/>
      <c r="CX94" s="131"/>
      <c r="CY94" s="131"/>
    </row>
    <row r="95" spans="2:103" customFormat="1" ht="15" hidden="1" customHeight="1" x14ac:dyDescent="0.25">
      <c r="B95" s="317" t="str">
        <f>IF($D$75&lt;&gt;"","",IF($E$76&lt;&gt;$D$12,"",IF($B$83&lt;&gt;"","","Vinculación con el proyecto")))</f>
        <v/>
      </c>
      <c r="C95" s="1085" t="str">
        <f>IF($D$75&lt;&gt;"","",IF($E$76&lt;&gt;$D$12,"",IF($B$83&lt;&gt;"","",C13)))</f>
        <v/>
      </c>
      <c r="D95" s="1083"/>
      <c r="E95" s="1083"/>
      <c r="F95" s="1083"/>
      <c r="G95" s="1083"/>
      <c r="H95" s="1083"/>
      <c r="I95" s="1084"/>
      <c r="J95" s="275"/>
      <c r="K95" s="276"/>
      <c r="L95" s="276"/>
      <c r="M95" s="276"/>
      <c r="N95" s="276"/>
      <c r="O95" s="276"/>
      <c r="P95" s="276"/>
      <c r="Q95" s="276"/>
      <c r="R95" s="276"/>
      <c r="S95" s="276"/>
      <c r="T95" s="276"/>
      <c r="U95" s="243"/>
      <c r="V95" s="276"/>
      <c r="W95" s="243"/>
      <c r="X95" s="243"/>
      <c r="Y95" s="243"/>
      <c r="Z95" s="243"/>
      <c r="AA95" s="243"/>
      <c r="AB95" s="243"/>
      <c r="AC95" s="243"/>
      <c r="AD95" s="243"/>
      <c r="AE95" s="243"/>
      <c r="AF95" s="243"/>
      <c r="AG95" s="243"/>
      <c r="AH95" s="243"/>
      <c r="AI95" s="243"/>
      <c r="AJ95" s="243"/>
      <c r="AK95" s="241"/>
      <c r="AL95" s="241"/>
      <c r="AM95" s="241"/>
      <c r="AN95" s="241"/>
      <c r="AO95" s="241"/>
      <c r="AP95" s="241"/>
      <c r="AQ95" s="241"/>
      <c r="AR95" s="263"/>
      <c r="AS95" s="263"/>
      <c r="AT95" s="263"/>
      <c r="CR95" s="460" t="str">
        <f t="shared" ref="CR95:CS101" si="46">IF($D$75&lt;&gt;"","",IF($E$76&lt;&gt;$D$12,"",IF($B$83&lt;&gt;"","",B95)))</f>
        <v/>
      </c>
      <c r="CS95" s="973" t="str">
        <f t="shared" si="46"/>
        <v/>
      </c>
      <c r="CT95" s="974"/>
      <c r="CU95" s="974"/>
      <c r="CV95" s="974"/>
      <c r="CW95" s="974"/>
      <c r="CX95" s="974"/>
      <c r="CY95" s="975"/>
    </row>
    <row r="96" spans="2:103" customFormat="1" ht="15" hidden="1" customHeight="1" x14ac:dyDescent="0.25">
      <c r="B96" s="317" t="str">
        <f>IF($D$75&lt;&gt;"","",IF($E$76&lt;&gt;$D$12,"",IF($B$83&lt;&gt;"","","Itinerario")))</f>
        <v/>
      </c>
      <c r="C96" s="1085" t="str">
        <f>IF($D$75&lt;&gt;"","",IF($E$76&lt;&gt;$D$12,"",IF($B$83&lt;&gt;"","",C15)))</f>
        <v/>
      </c>
      <c r="D96" s="1083"/>
      <c r="E96" s="1083"/>
      <c r="F96" s="1083"/>
      <c r="G96" s="1083"/>
      <c r="H96" s="1083"/>
      <c r="I96" s="1084"/>
      <c r="J96" s="275"/>
      <c r="K96" s="276"/>
      <c r="L96" s="276"/>
      <c r="M96" s="276"/>
      <c r="N96" s="276"/>
      <c r="O96" s="276"/>
      <c r="P96" s="276"/>
      <c r="Q96" s="276"/>
      <c r="R96" s="276"/>
      <c r="S96" s="276"/>
      <c r="T96" s="276"/>
      <c r="U96" s="243"/>
      <c r="V96" s="276"/>
      <c r="W96" s="243"/>
      <c r="X96" s="243"/>
      <c r="Y96" s="243"/>
      <c r="Z96" s="243"/>
      <c r="AA96" s="243"/>
      <c r="AB96" s="243"/>
      <c r="AC96" s="243"/>
      <c r="AD96" s="243"/>
      <c r="AE96" s="243"/>
      <c r="AF96" s="243"/>
      <c r="AG96" s="243"/>
      <c r="AH96" s="243"/>
      <c r="AI96" s="243"/>
      <c r="AJ96" s="243"/>
      <c r="AK96" s="241"/>
      <c r="AL96" s="241"/>
      <c r="AM96" s="241"/>
      <c r="AN96" s="241"/>
      <c r="AO96" s="241"/>
      <c r="AP96" s="241"/>
      <c r="AQ96" s="241"/>
      <c r="AR96" s="263"/>
      <c r="AS96" s="263"/>
      <c r="AT96" s="263"/>
      <c r="CR96" s="460" t="str">
        <f t="shared" si="46"/>
        <v/>
      </c>
      <c r="CS96" s="973" t="str">
        <f t="shared" si="46"/>
        <v/>
      </c>
      <c r="CT96" s="974"/>
      <c r="CU96" s="974"/>
      <c r="CV96" s="974"/>
      <c r="CW96" s="974"/>
      <c r="CX96" s="974"/>
      <c r="CY96" s="975"/>
    </row>
    <row r="97" spans="2:103" customFormat="1" ht="15" hidden="1" customHeight="1" x14ac:dyDescent="0.25">
      <c r="B97" s="317" t="str">
        <f>IF($D$75&lt;&gt;"","",IF($E$76&lt;&gt;$D$12,"",IF($B$83&lt;&gt;"","","¿A dónde se viaja?")))</f>
        <v/>
      </c>
      <c r="C97" s="1085" t="str">
        <f>IF($D$75&lt;&gt;"","",IF($E$76&lt;&gt;$D$12,"",IF($B$83&lt;&gt;"","",H15)))</f>
        <v/>
      </c>
      <c r="D97" s="1083"/>
      <c r="E97" s="1083"/>
      <c r="F97" s="1083"/>
      <c r="G97" s="1083"/>
      <c r="H97" s="1083"/>
      <c r="I97" s="1084"/>
      <c r="J97" s="275"/>
      <c r="K97" s="276"/>
      <c r="L97" s="276"/>
      <c r="M97" s="276"/>
      <c r="N97" s="276"/>
      <c r="O97" s="276"/>
      <c r="P97" s="276"/>
      <c r="Q97" s="276"/>
      <c r="R97" s="276"/>
      <c r="S97" s="276"/>
      <c r="T97" s="276"/>
      <c r="U97" s="243"/>
      <c r="V97" s="276"/>
      <c r="W97" s="243"/>
      <c r="X97" s="243"/>
      <c r="Y97" s="243"/>
      <c r="Z97" s="243"/>
      <c r="AA97" s="243"/>
      <c r="AB97" s="243"/>
      <c r="AC97" s="243"/>
      <c r="AD97" s="243"/>
      <c r="AE97" s="243"/>
      <c r="AF97" s="243"/>
      <c r="AG97" s="243"/>
      <c r="AH97" s="243"/>
      <c r="AI97" s="243"/>
      <c r="AJ97" s="243"/>
      <c r="AK97" s="241"/>
      <c r="AL97" s="241"/>
      <c r="AM97" s="241"/>
      <c r="AN97" s="241"/>
      <c r="AO97" s="241"/>
      <c r="AP97" s="241"/>
      <c r="AQ97" s="241"/>
      <c r="AR97" s="263"/>
      <c r="AS97" s="263"/>
      <c r="AT97" s="263"/>
      <c r="CR97" s="460" t="str">
        <f t="shared" si="46"/>
        <v/>
      </c>
      <c r="CS97" s="973" t="str">
        <f t="shared" si="46"/>
        <v/>
      </c>
      <c r="CT97" s="974"/>
      <c r="CU97" s="974"/>
      <c r="CV97" s="974"/>
      <c r="CW97" s="974"/>
      <c r="CX97" s="974"/>
      <c r="CY97" s="975"/>
    </row>
    <row r="98" spans="2:103" customFormat="1" ht="15" hidden="1" customHeight="1" x14ac:dyDescent="0.25">
      <c r="B98" s="317" t="str">
        <f>IF($D$75&lt;&gt;"","",IF($E$76&lt;&gt;$D$12,"",IF($B$83&lt;&gt;"","","Motivo del Viaje")))</f>
        <v/>
      </c>
      <c r="C98" s="1085" t="str">
        <f>IF($D$75&lt;&gt;"","",IF($E$76&lt;&gt;$D$12,"",IF($B$83&lt;&gt;"","",C14)))</f>
        <v/>
      </c>
      <c r="D98" s="1083"/>
      <c r="E98" s="1083"/>
      <c r="F98" s="1083"/>
      <c r="G98" s="1083"/>
      <c r="H98" s="1083"/>
      <c r="I98" s="1084"/>
      <c r="J98" s="275"/>
      <c r="K98" s="276"/>
      <c r="L98" s="276"/>
      <c r="M98" s="276"/>
      <c r="N98" s="276"/>
      <c r="O98" s="276"/>
      <c r="P98" s="276"/>
      <c r="Q98" s="276"/>
      <c r="R98" s="276"/>
      <c r="S98" s="276"/>
      <c r="T98" s="276"/>
      <c r="U98" s="243"/>
      <c r="V98" s="276"/>
      <c r="W98" s="243"/>
      <c r="X98" s="243"/>
      <c r="Y98" s="243"/>
      <c r="Z98" s="243"/>
      <c r="AA98" s="243"/>
      <c r="AB98" s="243"/>
      <c r="AC98" s="243"/>
      <c r="AD98" s="243"/>
      <c r="AE98" s="243"/>
      <c r="AF98" s="243"/>
      <c r="AG98" s="243"/>
      <c r="AH98" s="243"/>
      <c r="AI98" s="243"/>
      <c r="AJ98" s="243"/>
      <c r="AK98" s="241"/>
      <c r="AL98" s="241"/>
      <c r="AM98" s="241"/>
      <c r="AN98" s="241"/>
      <c r="AO98" s="241"/>
      <c r="AP98" s="241"/>
      <c r="AQ98" s="241"/>
      <c r="AR98" s="263"/>
      <c r="AS98" s="263"/>
      <c r="AT98" s="263"/>
      <c r="CR98" s="460" t="str">
        <f t="shared" si="46"/>
        <v/>
      </c>
      <c r="CS98" s="973" t="str">
        <f t="shared" si="46"/>
        <v/>
      </c>
      <c r="CT98" s="974"/>
      <c r="CU98" s="974"/>
      <c r="CV98" s="974"/>
      <c r="CW98" s="974"/>
      <c r="CX98" s="974"/>
      <c r="CY98" s="975"/>
    </row>
    <row r="99" spans="2:103" customFormat="1" ht="15" hidden="1" customHeight="1" x14ac:dyDescent="0.25">
      <c r="B99" s="317" t="str">
        <f>IF($D$75&lt;&gt;"","",IF($E$76&lt;&gt;$D$12,"",IF($B$83&lt;&gt;"","","Inicio y fin del viaje")))</f>
        <v/>
      </c>
      <c r="C99" s="1125" t="str">
        <f>IF($D$75&lt;&gt;"","",IF($E$76&lt;&gt;$D$12,"",IF($B$83&lt;&gt;"","",V31)))</f>
        <v/>
      </c>
      <c r="D99" s="1126"/>
      <c r="E99" s="1126"/>
      <c r="F99" s="1126"/>
      <c r="G99" s="1126"/>
      <c r="H99" s="1126"/>
      <c r="I99" s="1127"/>
      <c r="J99" s="275"/>
      <c r="K99" s="276"/>
      <c r="L99" s="276"/>
      <c r="M99" s="276"/>
      <c r="N99" s="276"/>
      <c r="O99" s="276"/>
      <c r="P99" s="276"/>
      <c r="Q99" s="276"/>
      <c r="R99" s="276"/>
      <c r="S99" s="276"/>
      <c r="T99" s="276"/>
      <c r="U99" s="243"/>
      <c r="V99" s="276"/>
      <c r="W99" s="243"/>
      <c r="X99" s="243"/>
      <c r="Y99" s="243"/>
      <c r="Z99" s="243"/>
      <c r="AA99" s="243"/>
      <c r="AB99" s="243"/>
      <c r="AC99" s="243"/>
      <c r="AD99" s="243"/>
      <c r="AE99" s="243"/>
      <c r="AF99" s="243"/>
      <c r="AG99" s="243"/>
      <c r="AH99" s="243"/>
      <c r="AI99" s="243"/>
      <c r="AJ99" s="243"/>
      <c r="AK99" s="241"/>
      <c r="AL99" s="241"/>
      <c r="AM99" s="241"/>
      <c r="AN99" s="241"/>
      <c r="AO99" s="241"/>
      <c r="AP99" s="241"/>
      <c r="AQ99" s="241"/>
      <c r="AR99" s="263"/>
      <c r="AS99" s="263"/>
      <c r="AT99" s="263"/>
      <c r="CR99" s="460" t="str">
        <f t="shared" si="46"/>
        <v/>
      </c>
      <c r="CS99" s="973" t="str">
        <f t="shared" si="46"/>
        <v/>
      </c>
      <c r="CT99" s="974"/>
      <c r="CU99" s="974"/>
      <c r="CV99" s="974"/>
      <c r="CW99" s="974"/>
      <c r="CX99" s="974"/>
      <c r="CY99" s="975"/>
    </row>
    <row r="100" spans="2:103" customFormat="1" ht="15" hidden="1" customHeight="1" x14ac:dyDescent="0.25">
      <c r="B100" s="354" t="str">
        <f>IF($D$75&lt;&gt;"","",IF($E$76&lt;&gt;$D$12,"",IF($B$83&lt;&gt;"","","Medio de locomoción")))</f>
        <v/>
      </c>
      <c r="C100" s="1085" t="str">
        <f>IF($D$75&lt;&gt;"","",IF($E$76&lt;&gt;$D$12,"",IF($B$83&lt;&gt;"","",AC60)))</f>
        <v/>
      </c>
      <c r="D100" s="1083"/>
      <c r="E100" s="1083"/>
      <c r="F100" s="1083"/>
      <c r="G100" s="1083"/>
      <c r="H100" s="1083"/>
      <c r="I100" s="1084"/>
      <c r="J100" s="275"/>
      <c r="K100" s="276"/>
      <c r="L100" s="276"/>
      <c r="M100" s="276"/>
      <c r="N100" s="276"/>
      <c r="O100" s="276"/>
      <c r="P100" s="276"/>
      <c r="Q100" s="276"/>
      <c r="R100" s="276"/>
      <c r="S100" s="276"/>
      <c r="T100" s="276"/>
      <c r="U100" s="243"/>
      <c r="V100" s="276"/>
      <c r="W100" s="243"/>
      <c r="X100" s="243"/>
      <c r="Y100" s="243"/>
      <c r="Z100" s="243"/>
      <c r="AA100" s="243"/>
      <c r="AB100" s="243"/>
      <c r="AC100" s="243"/>
      <c r="AD100" s="243"/>
      <c r="AE100" s="243"/>
      <c r="AF100" s="243"/>
      <c r="AG100" s="243"/>
      <c r="AH100" s="243"/>
      <c r="AI100" s="243"/>
      <c r="AJ100" s="243"/>
      <c r="AK100" s="241"/>
      <c r="AL100" s="241"/>
      <c r="AM100" s="241"/>
      <c r="AN100" s="241"/>
      <c r="AO100" s="241"/>
      <c r="AP100" s="241"/>
      <c r="AQ100" s="241"/>
      <c r="AR100" s="263"/>
      <c r="AS100" s="263"/>
      <c r="AT100" s="263"/>
      <c r="CR100" s="460" t="str">
        <f t="shared" si="46"/>
        <v/>
      </c>
      <c r="CS100" s="973" t="str">
        <f t="shared" si="46"/>
        <v/>
      </c>
      <c r="CT100" s="974"/>
      <c r="CU100" s="974"/>
      <c r="CV100" s="974"/>
      <c r="CW100" s="974"/>
      <c r="CX100" s="974"/>
      <c r="CY100" s="975"/>
    </row>
    <row r="101" spans="2:103" customFormat="1" ht="15" hidden="1" customHeight="1" x14ac:dyDescent="0.25">
      <c r="B101" s="355" t="str">
        <f>IF($D$75&lt;&gt;"","",IF($E$76&lt;&gt;$D$12,"",IF($B$83&lt;&gt;"","","Locomocion pagos a terceros")))</f>
        <v/>
      </c>
      <c r="C101" s="1106" t="str">
        <f>IF($D$75&lt;&gt;"","",IF($E$76&lt;&gt;$D$12,"",IF($B$83&lt;&gt;"","",AH60)))</f>
        <v/>
      </c>
      <c r="D101" s="1107"/>
      <c r="E101" s="1107"/>
      <c r="F101" s="1107"/>
      <c r="G101" s="1107"/>
      <c r="H101" s="1107"/>
      <c r="I101" s="1108"/>
      <c r="J101" s="275"/>
      <c r="K101" s="276"/>
      <c r="L101" s="276"/>
      <c r="M101" s="276"/>
      <c r="N101" s="276"/>
      <c r="O101" s="276"/>
      <c r="P101" s="276"/>
      <c r="Q101" s="276"/>
      <c r="R101" s="276"/>
      <c r="S101" s="276"/>
      <c r="T101" s="276"/>
      <c r="U101" s="243"/>
      <c r="V101" s="276"/>
      <c r="W101" s="243"/>
      <c r="X101" s="243"/>
      <c r="Y101" s="243"/>
      <c r="Z101" s="243"/>
      <c r="AA101" s="243"/>
      <c r="AB101" s="243"/>
      <c r="AC101" s="243"/>
      <c r="AD101" s="243"/>
      <c r="AE101" s="243"/>
      <c r="AF101" s="243"/>
      <c r="AG101" s="243"/>
      <c r="AH101" s="243"/>
      <c r="AI101" s="243"/>
      <c r="AJ101" s="243"/>
      <c r="AK101" s="241"/>
      <c r="AL101" s="241"/>
      <c r="AM101" s="241"/>
      <c r="AN101" s="241"/>
      <c r="AO101" s="241"/>
      <c r="AP101" s="241"/>
      <c r="AQ101" s="241"/>
      <c r="AR101" s="263"/>
      <c r="AS101" s="263"/>
      <c r="AT101" s="263"/>
      <c r="CR101" s="460" t="str">
        <f t="shared" si="46"/>
        <v/>
      </c>
      <c r="CS101" s="973" t="str">
        <f t="shared" si="46"/>
        <v/>
      </c>
      <c r="CT101" s="974"/>
      <c r="CU101" s="974"/>
      <c r="CV101" s="974"/>
      <c r="CW101" s="974"/>
      <c r="CX101" s="974"/>
      <c r="CY101" s="975"/>
    </row>
    <row r="102" spans="2:103" customFormat="1" ht="15" hidden="1" customHeight="1" x14ac:dyDescent="0.25">
      <c r="B102" s="354" t="s">
        <v>188</v>
      </c>
      <c r="C102" s="1092" t="str">
        <f>AC15&amp;" "&amp;AD41</f>
        <v xml:space="preserve"> </v>
      </c>
      <c r="D102" s="1093"/>
      <c r="E102" s="1093"/>
      <c r="F102" s="1093"/>
      <c r="G102" s="1093"/>
      <c r="H102" s="1093"/>
      <c r="I102" s="1094"/>
      <c r="J102" s="275"/>
      <c r="K102" s="276"/>
      <c r="L102" s="276"/>
      <c r="M102" s="276"/>
      <c r="N102" s="276"/>
      <c r="O102" s="276"/>
      <c r="P102" s="276"/>
      <c r="Q102" s="276"/>
      <c r="R102" s="276"/>
      <c r="S102" s="276"/>
      <c r="T102" s="276"/>
      <c r="U102" s="243"/>
      <c r="V102" s="276"/>
      <c r="W102" s="243"/>
      <c r="X102" s="243"/>
      <c r="Y102" s="243"/>
      <c r="Z102" s="243"/>
      <c r="AA102" s="243"/>
      <c r="AB102" s="243"/>
      <c r="AC102" s="243"/>
      <c r="AD102" s="243"/>
      <c r="AE102" s="243"/>
      <c r="AF102" s="243"/>
      <c r="AG102" s="243"/>
      <c r="AH102" s="243"/>
      <c r="AI102" s="243"/>
      <c r="AJ102" s="243"/>
      <c r="AK102" s="241"/>
      <c r="AL102" s="241"/>
      <c r="AM102" s="241"/>
      <c r="AN102" s="241"/>
      <c r="AO102" s="241"/>
      <c r="AP102" s="241"/>
      <c r="AQ102" s="241"/>
      <c r="AR102" s="263"/>
      <c r="AS102" s="263"/>
      <c r="AT102" s="263"/>
      <c r="CR102" s="462"/>
      <c r="CS102" s="958"/>
      <c r="CT102" s="959"/>
      <c r="CU102" s="959"/>
      <c r="CV102" s="959"/>
      <c r="CW102" s="959"/>
      <c r="CX102" s="959"/>
      <c r="CY102" s="960"/>
    </row>
    <row r="103" spans="2:103" customFormat="1" ht="15" hidden="1" customHeight="1" x14ac:dyDescent="0.25">
      <c r="B103" s="407" t="e">
        <f>AB12+AB13+AB38+AB39</f>
        <v>#VALUE!</v>
      </c>
      <c r="C103" s="1098"/>
      <c r="D103" s="1099"/>
      <c r="E103" s="1099"/>
      <c r="F103" s="1099"/>
      <c r="G103" s="1099"/>
      <c r="H103" s="1099"/>
      <c r="I103" s="1100"/>
      <c r="J103" s="275"/>
      <c r="K103" s="276"/>
      <c r="L103" s="276"/>
      <c r="M103" s="276"/>
      <c r="N103" s="276"/>
      <c r="O103" s="276"/>
      <c r="P103" s="276"/>
      <c r="Q103" s="276"/>
      <c r="R103" s="276"/>
      <c r="S103" s="276"/>
      <c r="T103" s="276"/>
      <c r="U103" s="243"/>
      <c r="V103" s="276"/>
      <c r="W103" s="243"/>
      <c r="X103" s="243"/>
      <c r="Y103" s="243"/>
      <c r="Z103" s="243"/>
      <c r="AA103" s="243"/>
      <c r="AB103" s="243"/>
      <c r="AC103" s="243"/>
      <c r="AD103" s="243"/>
      <c r="AE103" s="243"/>
      <c r="AF103" s="243"/>
      <c r="AG103" s="243"/>
      <c r="AH103" s="243"/>
      <c r="AI103" s="243"/>
      <c r="AJ103" s="243"/>
      <c r="AK103" s="241"/>
      <c r="AL103" s="241"/>
      <c r="AM103" s="241"/>
      <c r="AN103" s="241"/>
      <c r="AO103" s="241"/>
      <c r="AP103" s="241"/>
      <c r="AQ103" s="241"/>
      <c r="AR103" s="263"/>
      <c r="AS103" s="263"/>
      <c r="AT103" s="263"/>
      <c r="CR103" s="504"/>
      <c r="CS103" s="961"/>
      <c r="CT103" s="962"/>
      <c r="CU103" s="962"/>
      <c r="CV103" s="962"/>
      <c r="CW103" s="962"/>
      <c r="CX103" s="962"/>
      <c r="CY103" s="963"/>
    </row>
    <row r="104" spans="2:103" customFormat="1" ht="15" hidden="1" customHeight="1" x14ac:dyDescent="0.25">
      <c r="B104" s="1068" t="s">
        <v>352</v>
      </c>
      <c r="C104" s="1086" t="str">
        <f>AC16&amp;" "&amp;AD42</f>
        <v xml:space="preserve"> </v>
      </c>
      <c r="D104" s="1087"/>
      <c r="E104" s="1087"/>
      <c r="F104" s="1087"/>
      <c r="G104" s="1087"/>
      <c r="H104" s="1087"/>
      <c r="I104" s="1088"/>
      <c r="J104" s="275"/>
      <c r="K104" s="276"/>
      <c r="L104" s="276"/>
      <c r="M104" s="276"/>
      <c r="N104" s="276"/>
      <c r="O104" s="276"/>
      <c r="P104" s="276"/>
      <c r="Q104" s="276"/>
      <c r="R104" s="276"/>
      <c r="S104" s="276"/>
      <c r="T104" s="276"/>
      <c r="U104" s="243"/>
      <c r="V104" s="276"/>
      <c r="W104" s="243"/>
      <c r="X104" s="243"/>
      <c r="Y104" s="243"/>
      <c r="Z104" s="243"/>
      <c r="AA104" s="243"/>
      <c r="AB104" s="243"/>
      <c r="AC104" s="243"/>
      <c r="AD104" s="243"/>
      <c r="AE104" s="243"/>
      <c r="AF104" s="243"/>
      <c r="AG104" s="243"/>
      <c r="AH104" s="243"/>
      <c r="AI104" s="243"/>
      <c r="AJ104" s="243"/>
      <c r="AK104" s="241"/>
      <c r="AL104" s="241"/>
      <c r="AM104" s="241"/>
      <c r="AN104" s="241"/>
      <c r="AO104" s="241"/>
      <c r="AP104" s="241"/>
      <c r="AQ104" s="241"/>
      <c r="AR104" s="263"/>
      <c r="AS104" s="263"/>
      <c r="AT104" s="263"/>
      <c r="CR104" s="980"/>
      <c r="CS104" s="988"/>
      <c r="CT104" s="989"/>
      <c r="CU104" s="989"/>
      <c r="CV104" s="989"/>
      <c r="CW104" s="989"/>
      <c r="CX104" s="989"/>
      <c r="CY104" s="990"/>
    </row>
    <row r="105" spans="2:103" customFormat="1" ht="15" hidden="1" customHeight="1" x14ac:dyDescent="0.25">
      <c r="B105" s="1101"/>
      <c r="C105" s="1089"/>
      <c r="D105" s="1090"/>
      <c r="E105" s="1090"/>
      <c r="F105" s="1090"/>
      <c r="G105" s="1090"/>
      <c r="H105" s="1090"/>
      <c r="I105" s="1091"/>
      <c r="J105" s="275"/>
      <c r="K105" s="276"/>
      <c r="L105" s="276"/>
      <c r="M105" s="276"/>
      <c r="N105" s="276"/>
      <c r="O105" s="276"/>
      <c r="P105" s="276"/>
      <c r="Q105" s="276"/>
      <c r="R105" s="276"/>
      <c r="S105" s="276"/>
      <c r="T105" s="276"/>
      <c r="U105" s="243"/>
      <c r="V105" s="276"/>
      <c r="W105" s="243"/>
      <c r="X105" s="243"/>
      <c r="Y105" s="243"/>
      <c r="Z105" s="243"/>
      <c r="AA105" s="243"/>
      <c r="AB105" s="243"/>
      <c r="AC105" s="243"/>
      <c r="AD105" s="243"/>
      <c r="AE105" s="243"/>
      <c r="AF105" s="243"/>
      <c r="AG105" s="243"/>
      <c r="AH105" s="243"/>
      <c r="AI105" s="243"/>
      <c r="AJ105" s="243"/>
      <c r="AK105" s="241"/>
      <c r="AL105" s="241"/>
      <c r="AM105" s="241"/>
      <c r="AN105" s="241"/>
      <c r="AO105" s="241"/>
      <c r="AP105" s="241"/>
      <c r="AQ105" s="241"/>
      <c r="AR105" s="263"/>
      <c r="AS105" s="263"/>
      <c r="AT105" s="263"/>
      <c r="CR105" s="987"/>
      <c r="CS105" s="991"/>
      <c r="CT105" s="992"/>
      <c r="CU105" s="992"/>
      <c r="CV105" s="992"/>
      <c r="CW105" s="992"/>
      <c r="CX105" s="992"/>
      <c r="CY105" s="993"/>
    </row>
    <row r="106" spans="2:103" customFormat="1" ht="15" hidden="1" customHeight="1" x14ac:dyDescent="0.25">
      <c r="B106" s="1102" t="str">
        <f>IF($D$75&lt;&gt;"","",IF($E$76&lt;&gt;$D$12,"",IF($B$83&lt;&gt;"","","Manutención")))</f>
        <v/>
      </c>
      <c r="C106" s="1092" t="str">
        <f>IF($D$75&lt;&gt;"","",IF($E$76&lt;&gt;$D$12,"",IF($B$83&lt;&gt;"","",AD25&amp;" "&amp;AD73)))</f>
        <v/>
      </c>
      <c r="D106" s="1093"/>
      <c r="E106" s="1093"/>
      <c r="F106" s="1093"/>
      <c r="G106" s="1093"/>
      <c r="H106" s="1093"/>
      <c r="I106" s="1094"/>
      <c r="J106" s="275"/>
      <c r="K106" s="276"/>
      <c r="L106" s="276"/>
      <c r="M106" s="276"/>
      <c r="N106" s="276"/>
      <c r="O106" s="276"/>
      <c r="P106" s="276"/>
      <c r="Q106" s="276"/>
      <c r="R106" s="276"/>
      <c r="S106" s="276"/>
      <c r="T106" s="276"/>
      <c r="U106" s="243"/>
      <c r="V106" s="276"/>
      <c r="W106" s="243"/>
      <c r="X106" s="243"/>
      <c r="Y106" s="243"/>
      <c r="Z106" s="243"/>
      <c r="AA106" s="243"/>
      <c r="AB106" s="243"/>
      <c r="AC106" s="243"/>
      <c r="AD106" s="243"/>
      <c r="AE106" s="243"/>
      <c r="AF106" s="243"/>
      <c r="AG106" s="243"/>
      <c r="AH106" s="243"/>
      <c r="AI106" s="243"/>
      <c r="AJ106" s="243"/>
      <c r="AK106" s="241"/>
      <c r="AL106" s="241"/>
      <c r="AM106" s="241"/>
      <c r="AN106" s="241"/>
      <c r="AO106" s="241"/>
      <c r="AP106" s="241"/>
      <c r="AQ106" s="241"/>
      <c r="AR106" s="263"/>
      <c r="AS106" s="263"/>
      <c r="AT106" s="263"/>
      <c r="CR106" s="998" t="str">
        <f>IF($D$75&lt;&gt;"","",IF($E$76&lt;&gt;$D$12,"",IF($B$83&lt;&gt;"","",B106)))</f>
        <v/>
      </c>
      <c r="CS106" s="958" t="str">
        <f>IF($D$75&lt;&gt;"","",IF($E$76&lt;&gt;$D$12,"",IF($B$83&lt;&gt;"","",C106)))</f>
        <v/>
      </c>
      <c r="CT106" s="959"/>
      <c r="CU106" s="959"/>
      <c r="CV106" s="959"/>
      <c r="CW106" s="959"/>
      <c r="CX106" s="959"/>
      <c r="CY106" s="960"/>
    </row>
    <row r="107" spans="2:103" customFormat="1" ht="15" hidden="1" customHeight="1" x14ac:dyDescent="0.25">
      <c r="B107" s="1103"/>
      <c r="C107" s="1095"/>
      <c r="D107" s="1096"/>
      <c r="E107" s="1096"/>
      <c r="F107" s="1096"/>
      <c r="G107" s="1096"/>
      <c r="H107" s="1096"/>
      <c r="I107" s="1097"/>
      <c r="J107" s="275"/>
      <c r="K107" s="276"/>
      <c r="L107" s="276"/>
      <c r="M107" s="276"/>
      <c r="N107" s="276"/>
      <c r="O107" s="276"/>
      <c r="P107" s="276"/>
      <c r="Q107" s="276"/>
      <c r="R107" s="276"/>
      <c r="S107" s="276"/>
      <c r="T107" s="276"/>
      <c r="U107" s="243"/>
      <c r="V107" s="276"/>
      <c r="W107" s="243"/>
      <c r="X107" s="243"/>
      <c r="Y107" s="243"/>
      <c r="Z107" s="243"/>
      <c r="AA107" s="243"/>
      <c r="AB107" s="243"/>
      <c r="AC107" s="243"/>
      <c r="AD107" s="243"/>
      <c r="AE107" s="243"/>
      <c r="AF107" s="243"/>
      <c r="AG107" s="243"/>
      <c r="AH107" s="243"/>
      <c r="AI107" s="243"/>
      <c r="AJ107" s="243"/>
      <c r="AK107" s="241"/>
      <c r="AL107" s="241"/>
      <c r="AM107" s="241"/>
      <c r="AN107" s="241"/>
      <c r="AO107" s="241"/>
      <c r="AP107" s="241"/>
      <c r="AQ107" s="241"/>
      <c r="AR107" s="263"/>
      <c r="AS107" s="263"/>
      <c r="AT107" s="263"/>
      <c r="CR107" s="999"/>
      <c r="CS107" s="1000"/>
      <c r="CT107" s="1001"/>
      <c r="CU107" s="1001"/>
      <c r="CV107" s="1001"/>
      <c r="CW107" s="1001"/>
      <c r="CX107" s="1001"/>
      <c r="CY107" s="1002"/>
    </row>
    <row r="108" spans="2:103" customFormat="1" ht="15" hidden="1" customHeight="1" x14ac:dyDescent="0.25">
      <c r="B108" s="1104" t="str">
        <f>IF($D$75&lt;&gt;"","",IF($E$76&lt;&gt;$D$12,"",IF($B$83&lt;&gt;"","",SUM(W19+W64))))</f>
        <v/>
      </c>
      <c r="C108" s="1095"/>
      <c r="D108" s="1096"/>
      <c r="E108" s="1096"/>
      <c r="F108" s="1096"/>
      <c r="G108" s="1096"/>
      <c r="H108" s="1096"/>
      <c r="I108" s="1097"/>
      <c r="J108" s="275"/>
      <c r="K108" s="276"/>
      <c r="L108" s="276"/>
      <c r="M108" s="276"/>
      <c r="N108" s="276"/>
      <c r="O108" s="276"/>
      <c r="P108" s="276"/>
      <c r="Q108" s="276"/>
      <c r="R108" s="276"/>
      <c r="S108" s="276"/>
      <c r="T108" s="276"/>
      <c r="U108" s="243"/>
      <c r="V108" s="276"/>
      <c r="W108" s="243"/>
      <c r="X108" s="243"/>
      <c r="Y108" s="243"/>
      <c r="Z108" s="243"/>
      <c r="AA108" s="243"/>
      <c r="AB108" s="243"/>
      <c r="AC108" s="243"/>
      <c r="AD108" s="243"/>
      <c r="AE108" s="243"/>
      <c r="AF108" s="243"/>
      <c r="AG108" s="243"/>
      <c r="AH108" s="243"/>
      <c r="AI108" s="243"/>
      <c r="AJ108" s="243"/>
      <c r="AK108" s="241"/>
      <c r="AL108" s="241"/>
      <c r="AM108" s="241"/>
      <c r="AN108" s="241"/>
      <c r="AO108" s="241"/>
      <c r="AP108" s="241"/>
      <c r="AQ108" s="241"/>
      <c r="AR108" s="263"/>
      <c r="AS108" s="263"/>
      <c r="AT108" s="263"/>
      <c r="CR108" s="1003" t="str">
        <f>IF($D$75&lt;&gt;"","",IF($E$76&lt;&gt;$D$12,"",IF($B$83&lt;&gt;"","",B108)))</f>
        <v/>
      </c>
      <c r="CS108" s="1000"/>
      <c r="CT108" s="1001"/>
      <c r="CU108" s="1001"/>
      <c r="CV108" s="1001"/>
      <c r="CW108" s="1001"/>
      <c r="CX108" s="1001"/>
      <c r="CY108" s="1002"/>
    </row>
    <row r="109" spans="2:103" s="132" customFormat="1" ht="15" hidden="1" customHeight="1" x14ac:dyDescent="0.25">
      <c r="B109" s="1105"/>
      <c r="C109" s="1098"/>
      <c r="D109" s="1099"/>
      <c r="E109" s="1099"/>
      <c r="F109" s="1099"/>
      <c r="G109" s="1099"/>
      <c r="H109" s="1099"/>
      <c r="I109" s="1100"/>
      <c r="J109" s="275"/>
      <c r="K109" s="276"/>
      <c r="L109" s="276"/>
      <c r="M109" s="276"/>
      <c r="N109" s="276"/>
      <c r="O109" s="276"/>
      <c r="P109" s="276"/>
      <c r="Q109" s="276"/>
      <c r="R109" s="276"/>
      <c r="S109" s="276"/>
      <c r="T109" s="276"/>
      <c r="U109" s="243"/>
      <c r="V109" s="276"/>
      <c r="W109" s="243"/>
      <c r="X109" s="243"/>
      <c r="Y109" s="243"/>
      <c r="Z109" s="243"/>
      <c r="AA109" s="243"/>
      <c r="AB109" s="243"/>
      <c r="AC109" s="243"/>
      <c r="AD109" s="243"/>
      <c r="AE109" s="243"/>
      <c r="AF109" s="243"/>
      <c r="AG109" s="243"/>
      <c r="AH109" s="243"/>
      <c r="AI109" s="243"/>
      <c r="AJ109" s="243"/>
      <c r="AK109" s="241"/>
      <c r="AL109" s="241"/>
      <c r="AM109" s="241"/>
      <c r="AN109" s="241"/>
      <c r="AO109" s="241"/>
      <c r="AP109" s="241"/>
      <c r="AQ109" s="241"/>
      <c r="AR109" s="263"/>
      <c r="AS109" s="263"/>
      <c r="AT109" s="263"/>
      <c r="CR109" s="1004"/>
      <c r="CS109" s="961"/>
      <c r="CT109" s="962"/>
      <c r="CU109" s="962"/>
      <c r="CV109" s="962"/>
      <c r="CW109" s="962"/>
      <c r="CX109" s="962"/>
      <c r="CY109" s="963"/>
    </row>
    <row r="110" spans="2:103" customFormat="1" ht="15" hidden="1" customHeight="1" x14ac:dyDescent="0.25">
      <c r="B110" s="317" t="str">
        <f>IF($D$75&lt;&gt;"","",IF($E$76&lt;&gt;$D$12,"",IF($B$83&lt;&gt;"","","Gastos de inscripcion")))</f>
        <v/>
      </c>
      <c r="C110" s="351" t="str">
        <f>IF($D$75&lt;&gt;"","",IF($E$76&lt;&gt;$D$12,"",IF($B$83&lt;&gt;"","",F57)))</f>
        <v/>
      </c>
      <c r="D110" s="1075" t="str">
        <f>IF($D$75&lt;&gt;"","",IF($E$76&lt;&gt;$D$12,"",IF($B$83&lt;&gt;"","","Gastos de inscripcion Pagos a Terceros")))</f>
        <v/>
      </c>
      <c r="E110" s="1076"/>
      <c r="F110" s="1076"/>
      <c r="G110" s="1077"/>
      <c r="H110" s="353" t="str">
        <f>IF($D$75&lt;&gt;"","",IF($E$76&lt;&gt;$D$12,"",IF($B$83&lt;&gt;"","",F58)))</f>
        <v/>
      </c>
      <c r="I110" s="350"/>
      <c r="J110" s="241" t="str">
        <f>IF($D$75&lt;&gt;"","",IF($E$76&lt;&gt;$D$12,"",IF($B$83&lt;&gt;"","","€;")))</f>
        <v/>
      </c>
      <c r="K110" s="276"/>
      <c r="L110" s="276"/>
      <c r="M110" s="276"/>
      <c r="N110" s="276"/>
      <c r="O110" s="276"/>
      <c r="P110" s="276"/>
      <c r="Q110" s="276"/>
      <c r="R110" s="276"/>
      <c r="S110" s="276"/>
      <c r="T110" s="276"/>
      <c r="U110" s="243"/>
      <c r="V110" s="276"/>
      <c r="W110" s="243"/>
      <c r="X110" s="243"/>
      <c r="Y110" s="243"/>
      <c r="Z110" s="243"/>
      <c r="AA110" s="243"/>
      <c r="AB110" s="243"/>
      <c r="AC110" s="243"/>
      <c r="AD110" s="243"/>
      <c r="AE110" s="243"/>
      <c r="AF110" s="243"/>
      <c r="AG110" s="243"/>
      <c r="AH110" s="243"/>
      <c r="AI110" s="243"/>
      <c r="AJ110" s="243"/>
      <c r="AK110" s="241"/>
      <c r="AL110" s="241"/>
      <c r="AM110" s="241"/>
      <c r="AN110" s="241"/>
      <c r="AO110" s="241"/>
      <c r="AP110" s="241"/>
      <c r="AQ110" s="241"/>
      <c r="AR110" s="263"/>
      <c r="AS110" s="263"/>
      <c r="AT110" s="263"/>
      <c r="CR110" s="460" t="str">
        <f>IF($D$75&lt;&gt;"","",IF($E$76&lt;&gt;$D$12,"",IF($B$83&lt;&gt;"","",B110)))</f>
        <v/>
      </c>
      <c r="CS110" s="505" t="str">
        <f>IF($D$75&lt;&gt;"","",IF($E$76&lt;&gt;$D$12,"",IF($B$83&lt;&gt;"","",C110)))</f>
        <v/>
      </c>
      <c r="CT110" s="970" t="str">
        <f>IF($D$75&lt;&gt;"","",IF($E$76&lt;&gt;$D$12,"",IF($B$83&lt;&gt;"","",D110)))</f>
        <v/>
      </c>
      <c r="CU110" s="971"/>
      <c r="CV110" s="971"/>
      <c r="CW110" s="972"/>
      <c r="CX110" s="506" t="str">
        <f>IF($D$75&lt;&gt;"","",IF($E$76&lt;&gt;$D$12,"",IF($B$83&lt;&gt;"","",H110)))</f>
        <v/>
      </c>
      <c r="CY110" s="507"/>
    </row>
    <row r="111" spans="2:103" customFormat="1" ht="15" hidden="1" customHeight="1" x14ac:dyDescent="0.25">
      <c r="B111" s="317" t="str">
        <f>IF($D$75&lt;&gt;"","",IF($E$76&lt;&gt;$D$12,"",IF($B$83&lt;&gt;"","","Fecha del congreso")))</f>
        <v/>
      </c>
      <c r="C111" s="1082" t="str">
        <f>IF($D$75&lt;&gt;"","",IF($E$76&lt;&gt;$D$12,"",IF($B$83&lt;&gt;"","",V31)))</f>
        <v/>
      </c>
      <c r="D111" s="1083"/>
      <c r="E111" s="1083"/>
      <c r="F111" s="1083"/>
      <c r="G111" s="1083"/>
      <c r="H111" s="1083"/>
      <c r="I111" s="1084"/>
      <c r="J111" s="275"/>
      <c r="K111" s="276"/>
      <c r="L111" s="276"/>
      <c r="M111" s="276"/>
      <c r="N111" s="276"/>
      <c r="O111" s="276"/>
      <c r="P111" s="276"/>
      <c r="Q111" s="276"/>
      <c r="R111" s="276"/>
      <c r="S111" s="276"/>
      <c r="T111" s="276"/>
      <c r="U111" s="243"/>
      <c r="V111" s="276"/>
      <c r="W111" s="243"/>
      <c r="X111" s="243"/>
      <c r="Y111" s="243"/>
      <c r="Z111" s="243"/>
      <c r="AA111" s="243"/>
      <c r="AB111" s="243"/>
      <c r="AC111" s="243"/>
      <c r="AD111" s="243"/>
      <c r="AE111" s="243"/>
      <c r="AF111" s="243"/>
      <c r="AG111" s="243"/>
      <c r="AH111" s="243"/>
      <c r="AI111" s="243"/>
      <c r="AJ111" s="243"/>
      <c r="AK111" s="241"/>
      <c r="AL111" s="241"/>
      <c r="AM111" s="241"/>
      <c r="AN111" s="241"/>
      <c r="AO111" s="241"/>
      <c r="AP111" s="241"/>
      <c r="AQ111" s="241"/>
      <c r="AR111" s="263"/>
      <c r="AS111" s="263"/>
      <c r="AT111" s="263"/>
      <c r="CR111" s="460" t="str">
        <f t="shared" ref="CR111:CS113" si="47">IF($D$75&lt;&gt;"","",IF($E$76&lt;&gt;$D$12,"",IF($B$83&lt;&gt;"","",B111)))</f>
        <v/>
      </c>
      <c r="CS111" s="973" t="str">
        <f t="shared" si="47"/>
        <v/>
      </c>
      <c r="CT111" s="974"/>
      <c r="CU111" s="974"/>
      <c r="CV111" s="974"/>
      <c r="CW111" s="974"/>
      <c r="CX111" s="974"/>
      <c r="CY111" s="975"/>
    </row>
    <row r="112" spans="2:103" customFormat="1" ht="15" hidden="1" customHeight="1" x14ac:dyDescent="0.25">
      <c r="B112" s="317" t="str">
        <f>IF($D$75&lt;&gt;"","",IF($E$76&lt;&gt;$D$12,"",IF($B$83&lt;&gt;"","","otros documentos")))</f>
        <v/>
      </c>
      <c r="C112" s="352" t="str">
        <f>IF($D$75&lt;&gt;"","",IF($E$76&lt;&gt;$D$12,"",IF($B$83&lt;&gt;"","",G57)))</f>
        <v/>
      </c>
      <c r="D112" s="1078" t="str">
        <f>IF($D$75&lt;&gt;"","",IF($E$76&lt;&gt;$D$12,"",IF($B$83&lt;&gt;"","","otros documentos Pagos a Terceros")))</f>
        <v/>
      </c>
      <c r="E112" s="1079"/>
      <c r="F112" s="1079"/>
      <c r="G112" s="1079"/>
      <c r="H112" s="1080" t="str">
        <f>IF($D$75&lt;&gt;"","",IF($E$76&lt;&gt;$D$12,"",IF($B$83&lt;&gt;"","",G58)))</f>
        <v/>
      </c>
      <c r="I112" s="1081"/>
      <c r="J112" s="275"/>
      <c r="K112" s="276"/>
      <c r="L112" s="276"/>
      <c r="M112" s="276"/>
      <c r="N112" s="276"/>
      <c r="O112" s="276"/>
      <c r="P112" s="276"/>
      <c r="Q112" s="276"/>
      <c r="R112" s="276"/>
      <c r="S112" s="276"/>
      <c r="T112" s="276"/>
      <c r="U112" s="243"/>
      <c r="V112" s="276"/>
      <c r="W112" s="243"/>
      <c r="X112" s="243"/>
      <c r="Y112" s="243"/>
      <c r="Z112" s="243"/>
      <c r="AA112" s="243"/>
      <c r="AB112" s="243"/>
      <c r="AC112" s="243"/>
      <c r="AD112" s="243"/>
      <c r="AE112" s="243"/>
      <c r="AF112" s="243"/>
      <c r="AG112" s="243"/>
      <c r="AH112" s="243"/>
      <c r="AI112" s="243"/>
      <c r="AJ112" s="243"/>
      <c r="AK112" s="241"/>
      <c r="AL112" s="241"/>
      <c r="AM112" s="241"/>
      <c r="AN112" s="241"/>
      <c r="AO112" s="241"/>
      <c r="AP112" s="241"/>
      <c r="AQ112" s="241"/>
      <c r="AR112" s="263"/>
      <c r="AS112" s="263"/>
      <c r="AT112" s="263"/>
      <c r="CR112" s="460" t="str">
        <f t="shared" si="47"/>
        <v/>
      </c>
      <c r="CS112" s="508" t="str">
        <f t="shared" si="47"/>
        <v/>
      </c>
      <c r="CT112" s="976" t="str">
        <f>IF($D$75&lt;&gt;"","",IF($E$76&lt;&gt;$D$12,"",IF($B$83&lt;&gt;"","",D112)))</f>
        <v/>
      </c>
      <c r="CU112" s="977"/>
      <c r="CV112" s="977"/>
      <c r="CW112" s="977"/>
      <c r="CX112" s="978" t="str">
        <f>IF($D$75&lt;&gt;"","",IF($E$76&lt;&gt;$D$12,"",IF($B$83&lt;&gt;"","",H112)))</f>
        <v/>
      </c>
      <c r="CY112" s="979"/>
    </row>
    <row r="113" spans="2:103" customFormat="1" hidden="1" x14ac:dyDescent="0.25">
      <c r="B113" s="1068" t="str">
        <f>IF($D$75&lt;&gt;"","",IF($E$76&lt;&gt;$D$12,"",IF($B$83&lt;&gt;"","",B65)))</f>
        <v/>
      </c>
      <c r="C113" s="1070" t="str">
        <f>IF($D$75&lt;&gt;"","",IF($E$76&lt;&gt;$D$12,"",IF($B$83&lt;&gt;"","",C65)))</f>
        <v/>
      </c>
      <c r="D113" s="1071"/>
      <c r="E113" s="1071"/>
      <c r="F113" s="1071"/>
      <c r="G113" s="1071"/>
      <c r="H113" s="1071"/>
      <c r="I113" s="1072"/>
      <c r="J113" s="275"/>
      <c r="K113" s="276"/>
      <c r="L113" s="276"/>
      <c r="M113" s="276"/>
      <c r="N113" s="276"/>
      <c r="O113" s="276"/>
      <c r="P113" s="276"/>
      <c r="Q113" s="276"/>
      <c r="R113" s="276"/>
      <c r="S113" s="276"/>
      <c r="T113" s="276"/>
      <c r="U113" s="243"/>
      <c r="V113" s="276"/>
      <c r="W113" s="243"/>
      <c r="X113" s="243"/>
      <c r="Y113" s="243"/>
      <c r="Z113" s="243"/>
      <c r="AA113" s="243"/>
      <c r="AB113" s="243"/>
      <c r="AC113" s="243"/>
      <c r="AD113" s="243"/>
      <c r="AE113" s="243"/>
      <c r="AF113" s="243"/>
      <c r="AG113" s="243"/>
      <c r="AH113" s="243"/>
      <c r="AI113" s="243"/>
      <c r="AJ113" s="243"/>
      <c r="AK113" s="241"/>
      <c r="AL113" s="241"/>
      <c r="AM113" s="241"/>
      <c r="AN113" s="241"/>
      <c r="AO113" s="241"/>
      <c r="AP113" s="241"/>
      <c r="AQ113" s="241"/>
      <c r="AR113" s="263"/>
      <c r="AS113" s="263"/>
      <c r="AT113" s="263"/>
      <c r="CR113" s="980" t="str">
        <f t="shared" si="47"/>
        <v/>
      </c>
      <c r="CS113" s="982" t="str">
        <f t="shared" si="47"/>
        <v/>
      </c>
      <c r="CT113" s="983"/>
      <c r="CU113" s="983"/>
      <c r="CV113" s="983"/>
      <c r="CW113" s="983"/>
      <c r="CX113" s="983"/>
      <c r="CY113" s="984"/>
    </row>
    <row r="114" spans="2:103" customFormat="1" hidden="1" x14ac:dyDescent="0.25">
      <c r="B114" s="1069"/>
      <c r="C114" s="1070"/>
      <c r="D114" s="1073"/>
      <c r="E114" s="1073"/>
      <c r="F114" s="1073"/>
      <c r="G114" s="1073"/>
      <c r="H114" s="1073"/>
      <c r="I114" s="1074"/>
      <c r="J114" s="275"/>
      <c r="K114" s="276"/>
      <c r="L114" s="276"/>
      <c r="M114" s="276"/>
      <c r="N114" s="276"/>
      <c r="O114" s="276"/>
      <c r="P114" s="276"/>
      <c r="Q114" s="276"/>
      <c r="R114" s="276"/>
      <c r="S114" s="276"/>
      <c r="T114" s="276"/>
      <c r="U114" s="243"/>
      <c r="V114" s="276"/>
      <c r="W114" s="243"/>
      <c r="X114" s="243"/>
      <c r="Y114" s="243"/>
      <c r="Z114" s="243"/>
      <c r="AA114" s="243"/>
      <c r="AB114" s="243"/>
      <c r="AC114" s="243"/>
      <c r="AD114" s="243"/>
      <c r="AE114" s="243"/>
      <c r="AF114" s="243"/>
      <c r="AG114" s="243"/>
      <c r="AH114" s="243"/>
      <c r="AI114" s="243"/>
      <c r="AJ114" s="243"/>
      <c r="AK114" s="241"/>
      <c r="AL114" s="241"/>
      <c r="AM114" s="241"/>
      <c r="AN114" s="241"/>
      <c r="AO114" s="241"/>
      <c r="AP114" s="241"/>
      <c r="AQ114" s="241"/>
      <c r="AR114" s="263"/>
      <c r="AS114" s="263"/>
      <c r="AT114" s="263"/>
      <c r="CR114" s="981"/>
      <c r="CS114" s="982"/>
      <c r="CT114" s="985"/>
      <c r="CU114" s="985"/>
      <c r="CV114" s="985"/>
      <c r="CW114" s="985"/>
      <c r="CX114" s="985"/>
      <c r="CY114" s="986"/>
    </row>
    <row r="115" spans="2:103" customFormat="1" hidden="1" x14ac:dyDescent="0.25">
      <c r="I115" s="114"/>
      <c r="J115" s="275"/>
      <c r="K115" s="276"/>
      <c r="L115" s="276"/>
      <c r="M115" s="276"/>
      <c r="N115" s="276"/>
      <c r="O115" s="276"/>
      <c r="P115" s="276"/>
      <c r="Q115" s="276"/>
      <c r="R115" s="276"/>
      <c r="S115" s="276"/>
      <c r="T115" s="276"/>
      <c r="U115" s="243"/>
      <c r="V115" s="276"/>
      <c r="W115" s="243"/>
      <c r="X115" s="243"/>
      <c r="Y115" s="243"/>
      <c r="Z115" s="243"/>
      <c r="AA115" s="243"/>
      <c r="AB115" s="243"/>
      <c r="AC115" s="243"/>
      <c r="AD115" s="243"/>
      <c r="AE115" s="243"/>
      <c r="AF115" s="243"/>
      <c r="AG115" s="243"/>
      <c r="AH115" s="243"/>
      <c r="AI115" s="243"/>
      <c r="AJ115" s="243"/>
      <c r="AK115" s="241"/>
      <c r="AL115" s="241"/>
      <c r="AM115" s="241"/>
      <c r="AN115" s="241"/>
      <c r="AO115" s="241"/>
      <c r="AP115" s="241"/>
      <c r="AQ115" s="241"/>
      <c r="AR115" s="263"/>
      <c r="AS115" s="263"/>
      <c r="AT115" s="263"/>
      <c r="CR115" s="19"/>
      <c r="CS115" s="19"/>
      <c r="CT115" s="19"/>
      <c r="CU115" s="19"/>
      <c r="CV115" s="19"/>
      <c r="CW115" s="19"/>
      <c r="CX115" s="19"/>
      <c r="CY115" s="646" t="str">
        <f>IF($D$75&lt;&gt;"","",IF($E$76&lt;&gt;$D$12,"",IF($B$83&lt;&gt;"","","Otra Ayuda")))</f>
        <v/>
      </c>
    </row>
    <row r="116" spans="2:103" customFormat="1" ht="15" hidden="1" customHeight="1" x14ac:dyDescent="0.25">
      <c r="J116" s="275"/>
      <c r="K116" s="276"/>
      <c r="L116" s="276"/>
      <c r="M116" s="276"/>
      <c r="N116" s="276"/>
      <c r="O116" s="276"/>
      <c r="P116" s="276"/>
      <c r="Q116" s="276"/>
      <c r="R116" s="276"/>
      <c r="S116" s="276"/>
      <c r="T116" s="276"/>
      <c r="U116" s="243"/>
      <c r="V116" s="276"/>
      <c r="W116" s="243"/>
      <c r="X116" s="243"/>
      <c r="Y116" s="243"/>
      <c r="Z116" s="243"/>
      <c r="AA116" s="243"/>
      <c r="AB116" s="243"/>
      <c r="AC116" s="243"/>
      <c r="AD116" s="243"/>
      <c r="AE116" s="243"/>
      <c r="AF116" s="243"/>
      <c r="AG116" s="243"/>
      <c r="AH116" s="243"/>
      <c r="AI116" s="243"/>
      <c r="AJ116" s="243"/>
      <c r="AK116" s="241"/>
      <c r="AL116" s="241"/>
      <c r="AM116" s="241"/>
      <c r="AN116" s="241"/>
      <c r="AO116" s="241"/>
      <c r="AP116" s="241"/>
      <c r="AQ116" s="241"/>
      <c r="AR116" s="263"/>
      <c r="AS116" s="263"/>
      <c r="AT116" s="263"/>
      <c r="CR116" s="955" t="str">
        <f>IF($D$75&lt;&gt;"","",IF($E$76&lt;&gt;$D$12,"",IF($B$83&lt;&gt;"","","Alojamientos")))</f>
        <v/>
      </c>
      <c r="CS116" s="966" t="str">
        <f>CR125</f>
        <v/>
      </c>
      <c r="CT116" s="966"/>
      <c r="CU116" s="966"/>
      <c r="CV116" s="966"/>
      <c r="CW116" s="966"/>
      <c r="CX116" s="966"/>
      <c r="CY116" s="647"/>
    </row>
    <row r="117" spans="2:103" customFormat="1" ht="12.75" hidden="1" customHeight="1" x14ac:dyDescent="0.25">
      <c r="J117" s="275"/>
      <c r="K117" s="276"/>
      <c r="L117" s="276"/>
      <c r="M117" s="276"/>
      <c r="N117" s="276"/>
      <c r="O117" s="276"/>
      <c r="P117" s="276"/>
      <c r="Q117" s="276"/>
      <c r="R117" s="276"/>
      <c r="S117" s="276"/>
      <c r="T117" s="276"/>
      <c r="U117" s="243"/>
      <c r="V117" s="276"/>
      <c r="W117" s="243"/>
      <c r="X117" s="243"/>
      <c r="Y117" s="243"/>
      <c r="Z117" s="243"/>
      <c r="AA117" s="243"/>
      <c r="AB117" s="243"/>
      <c r="AC117" s="243"/>
      <c r="AD117" s="243"/>
      <c r="AE117" s="243"/>
      <c r="AF117" s="243"/>
      <c r="AG117" s="243"/>
      <c r="AH117" s="243"/>
      <c r="AI117" s="243"/>
      <c r="AJ117" s="243"/>
      <c r="AK117" s="241"/>
      <c r="AL117" s="241"/>
      <c r="AM117" s="241"/>
      <c r="AN117" s="241"/>
      <c r="AO117" s="241"/>
      <c r="AP117" s="241"/>
      <c r="AQ117" s="241"/>
      <c r="AR117" s="263"/>
      <c r="AS117" s="263"/>
      <c r="AT117" s="263"/>
      <c r="CR117" s="956"/>
      <c r="CS117" s="967" t="str">
        <f>CR126</f>
        <v/>
      </c>
      <c r="CT117" s="968"/>
      <c r="CU117" s="968"/>
      <c r="CV117" s="968"/>
      <c r="CW117" s="968"/>
      <c r="CX117" s="969"/>
      <c r="CY117" s="648" t="str">
        <f>IF(L24&lt;0,"",IF(L24=0,"",IF($D$75&lt;&gt;"","",IF($E$76&lt;&gt;$D$12,"",IF($B$83&lt;&gt;"","",L24)))))</f>
        <v/>
      </c>
    </row>
    <row r="118" spans="2:103" customFormat="1" ht="12.75" hidden="1" customHeight="1" x14ac:dyDescent="0.25">
      <c r="J118" s="275"/>
      <c r="K118" s="276"/>
      <c r="L118" s="276"/>
      <c r="M118" s="276"/>
      <c r="N118" s="276"/>
      <c r="O118" s="276"/>
      <c r="P118" s="276"/>
      <c r="Q118" s="276"/>
      <c r="R118" s="276"/>
      <c r="S118" s="276"/>
      <c r="T118" s="276"/>
      <c r="U118" s="243"/>
      <c r="V118" s="276"/>
      <c r="W118" s="243"/>
      <c r="X118" s="243"/>
      <c r="Y118" s="243"/>
      <c r="Z118" s="243"/>
      <c r="AA118" s="243"/>
      <c r="AB118" s="243"/>
      <c r="AC118" s="243"/>
      <c r="AD118" s="243"/>
      <c r="AE118" s="243"/>
      <c r="AF118" s="243"/>
      <c r="AG118" s="243"/>
      <c r="AH118" s="243"/>
      <c r="AI118" s="243"/>
      <c r="AJ118" s="243"/>
      <c r="AK118" s="241"/>
      <c r="AL118" s="241"/>
      <c r="AM118" s="241"/>
      <c r="AN118" s="241"/>
      <c r="AO118" s="241"/>
      <c r="AP118" s="241"/>
      <c r="AQ118" s="241"/>
      <c r="AR118" s="263"/>
      <c r="AS118" s="263"/>
      <c r="AT118" s="263"/>
      <c r="CR118" s="956"/>
      <c r="CS118" s="967" t="str">
        <f>CT126</f>
        <v/>
      </c>
      <c r="CT118" s="968"/>
      <c r="CU118" s="968"/>
      <c r="CV118" s="968"/>
      <c r="CW118" s="968"/>
      <c r="CX118" s="969"/>
      <c r="CY118" s="648" t="str">
        <f>IF(L25&lt;0,"",IF(L25=0,"",IF($D$75&lt;&gt;"","",IF($E$76&lt;&gt;$D$12,"",IF($B$83&lt;&gt;"","",L25)))))</f>
        <v/>
      </c>
    </row>
    <row r="119" spans="2:103" customFormat="1" ht="13.8" hidden="1" x14ac:dyDescent="0.25">
      <c r="J119" s="275"/>
      <c r="K119" s="276"/>
      <c r="L119" s="276"/>
      <c r="M119" s="276"/>
      <c r="N119" s="276"/>
      <c r="O119" s="276"/>
      <c r="P119" s="276"/>
      <c r="Q119" s="276"/>
      <c r="R119" s="276"/>
      <c r="S119" s="276"/>
      <c r="T119" s="276"/>
      <c r="U119" s="243"/>
      <c r="V119" s="276"/>
      <c r="W119" s="243"/>
      <c r="X119" s="243"/>
      <c r="Y119" s="243"/>
      <c r="Z119" s="243"/>
      <c r="AA119" s="243"/>
      <c r="AB119" s="243"/>
      <c r="AC119" s="243"/>
      <c r="AD119" s="243"/>
      <c r="AE119" s="243"/>
      <c r="AF119" s="243"/>
      <c r="AG119" s="243"/>
      <c r="AH119" s="243"/>
      <c r="AI119" s="243"/>
      <c r="AJ119" s="243"/>
      <c r="AK119" s="241"/>
      <c r="AL119" s="241"/>
      <c r="AM119" s="241"/>
      <c r="AN119" s="241"/>
      <c r="AO119" s="241"/>
      <c r="AP119" s="241"/>
      <c r="AQ119" s="241"/>
      <c r="AR119" s="263"/>
      <c r="AS119" s="263"/>
      <c r="AT119" s="263"/>
      <c r="CR119" s="956"/>
      <c r="CS119" s="967" t="str">
        <f>CR127</f>
        <v/>
      </c>
      <c r="CT119" s="968"/>
      <c r="CU119" s="968"/>
      <c r="CV119" s="968"/>
      <c r="CW119" s="968"/>
      <c r="CX119" s="969"/>
      <c r="CY119" s="646"/>
    </row>
    <row r="120" spans="2:103" customFormat="1" ht="13.8" hidden="1" x14ac:dyDescent="0.25">
      <c r="J120" s="275"/>
      <c r="K120" s="276"/>
      <c r="L120" s="276"/>
      <c r="M120" s="276"/>
      <c r="N120" s="276"/>
      <c r="O120" s="276"/>
      <c r="P120" s="276"/>
      <c r="Q120" s="276"/>
      <c r="R120" s="276"/>
      <c r="S120" s="276"/>
      <c r="T120" s="276"/>
      <c r="U120" s="243"/>
      <c r="V120" s="276"/>
      <c r="W120" s="243"/>
      <c r="X120" s="243"/>
      <c r="Y120" s="243"/>
      <c r="Z120" s="243"/>
      <c r="AA120" s="243"/>
      <c r="AB120" s="243"/>
      <c r="AC120" s="243"/>
      <c r="AD120" s="243"/>
      <c r="AE120" s="243"/>
      <c r="AF120" s="243"/>
      <c r="AG120" s="243"/>
      <c r="AH120" s="243"/>
      <c r="AI120" s="243"/>
      <c r="AJ120" s="243"/>
      <c r="AK120" s="241"/>
      <c r="AL120" s="241"/>
      <c r="AM120" s="241"/>
      <c r="AN120" s="241"/>
      <c r="AO120" s="241"/>
      <c r="AP120" s="241"/>
      <c r="AQ120" s="241"/>
      <c r="AR120" s="263"/>
      <c r="AS120" s="263"/>
      <c r="AT120" s="263"/>
      <c r="CR120" s="956"/>
      <c r="CS120" s="967" t="str">
        <f>CR128</f>
        <v/>
      </c>
      <c r="CT120" s="968"/>
      <c r="CU120" s="968"/>
      <c r="CV120" s="968"/>
      <c r="CW120" s="968"/>
      <c r="CX120" s="969"/>
      <c r="CY120" s="648" t="str">
        <f>IF(L39=0,"",IF(L39&lt;0,"",IF($D$75&lt;&gt;"","",IF($E$76&lt;&gt;$D$12,"",IF($B$83&lt;&gt;"","",L39)))))</f>
        <v/>
      </c>
    </row>
    <row r="121" spans="2:103" customFormat="1" ht="13.8" hidden="1" x14ac:dyDescent="0.25">
      <c r="J121" s="275"/>
      <c r="K121" s="276"/>
      <c r="L121" s="276"/>
      <c r="M121" s="276"/>
      <c r="N121" s="276"/>
      <c r="O121" s="276"/>
      <c r="P121" s="276"/>
      <c r="Q121" s="276"/>
      <c r="R121" s="276"/>
      <c r="S121" s="276"/>
      <c r="T121" s="276"/>
      <c r="U121" s="243"/>
      <c r="V121" s="276"/>
      <c r="W121" s="243"/>
      <c r="X121" s="243"/>
      <c r="Y121" s="243"/>
      <c r="Z121" s="243"/>
      <c r="AA121" s="243"/>
      <c r="AB121" s="243"/>
      <c r="AC121" s="243"/>
      <c r="AD121" s="243"/>
      <c r="AE121" s="243"/>
      <c r="AF121" s="243"/>
      <c r="AG121" s="243"/>
      <c r="AH121" s="243"/>
      <c r="AI121" s="243"/>
      <c r="AJ121" s="243"/>
      <c r="AK121" s="241"/>
      <c r="AL121" s="241"/>
      <c r="AM121" s="241"/>
      <c r="AN121" s="241"/>
      <c r="AO121" s="241"/>
      <c r="AP121" s="241"/>
      <c r="AQ121" s="241"/>
      <c r="AR121" s="263"/>
      <c r="AS121" s="263"/>
      <c r="AT121" s="263"/>
      <c r="CR121" s="957"/>
      <c r="CS121" s="967" t="str">
        <f>CT127</f>
        <v/>
      </c>
      <c r="CT121" s="968"/>
      <c r="CU121" s="968"/>
      <c r="CV121" s="968"/>
      <c r="CW121" s="968"/>
      <c r="CX121" s="969"/>
      <c r="CY121" s="648" t="str">
        <f>IF(L40=0,"",IF(L40&lt;0,"",IF($D$75&lt;&gt;"","",IF($E$76&lt;&gt;$D$12,"",IF($B$83&lt;&gt;"","",L40)))))</f>
        <v/>
      </c>
    </row>
    <row r="122" spans="2:103" customFormat="1" hidden="1" x14ac:dyDescent="0.25">
      <c r="I122" s="114"/>
      <c r="J122" s="275"/>
      <c r="K122" s="276"/>
      <c r="L122" s="276"/>
      <c r="M122" s="276"/>
      <c r="N122" s="276"/>
      <c r="O122" s="276"/>
      <c r="P122" s="276"/>
      <c r="Q122" s="276"/>
      <c r="R122" s="276"/>
      <c r="S122" s="276"/>
      <c r="T122" s="276"/>
      <c r="U122" s="243"/>
      <c r="V122" s="276"/>
      <c r="W122" s="243"/>
      <c r="X122" s="243"/>
      <c r="Y122" s="243"/>
      <c r="Z122" s="243"/>
      <c r="AA122" s="243"/>
      <c r="AB122" s="243"/>
      <c r="AC122" s="243"/>
      <c r="AD122" s="243"/>
      <c r="AE122" s="243"/>
      <c r="AF122" s="243"/>
      <c r="AG122" s="243"/>
      <c r="AH122" s="243"/>
      <c r="AI122" s="243"/>
      <c r="AJ122" s="243"/>
      <c r="AK122" s="241"/>
      <c r="AL122" s="241"/>
      <c r="AM122" s="241"/>
      <c r="AN122" s="241"/>
      <c r="AO122" s="241"/>
      <c r="AP122" s="241"/>
      <c r="AQ122" s="241"/>
      <c r="AR122" s="263"/>
      <c r="AS122" s="263"/>
      <c r="AT122" s="263"/>
      <c r="CR122" s="19"/>
      <c r="CS122" s="19"/>
      <c r="CT122" s="19"/>
      <c r="CU122" s="19"/>
      <c r="CV122" s="19"/>
      <c r="CW122" s="19"/>
      <c r="CX122" s="19"/>
      <c r="CY122" s="19"/>
    </row>
    <row r="123" spans="2:103" hidden="1" x14ac:dyDescent="0.25">
      <c r="B123" s="436" t="str">
        <f>IF($D$75&lt;&gt;"","",IF($E$76&lt;&gt;$D$12,"",IF($B$83&lt;&gt;"","","INSCR")))</f>
        <v/>
      </c>
      <c r="C123"/>
      <c r="D123"/>
      <c r="E123"/>
      <c r="F123"/>
      <c r="G123"/>
      <c r="CR123"/>
      <c r="CS123"/>
      <c r="CT123"/>
      <c r="CU123"/>
      <c r="CV123"/>
      <c r="CW123"/>
    </row>
    <row r="124" spans="2:103" ht="15.6" hidden="1" x14ac:dyDescent="0.3">
      <c r="C124"/>
      <c r="D124"/>
      <c r="E124"/>
      <c r="F124"/>
      <c r="G124"/>
      <c r="CR124" s="965" t="str">
        <f t="shared" ref="CR124:CR129" si="48">IF($D$75&lt;&gt;"","",IF($E$76&lt;&gt;$D$12,"",IF($B$83&lt;&gt;"","",AP19)))</f>
        <v/>
      </c>
      <c r="CS124" s="965"/>
      <c r="CT124" s="952" t="str">
        <f>IF($D$75&lt;&gt;"","",IF($E$76&lt;&gt;$D$12,"",IF($B$83&lt;&gt;"","",AM25)))</f>
        <v/>
      </c>
      <c r="CU124" s="953"/>
      <c r="CV124" s="953"/>
      <c r="CW124" s="953"/>
      <c r="CX124" s="954"/>
    </row>
    <row r="125" spans="2:103" ht="15" hidden="1" x14ac:dyDescent="0.25">
      <c r="C125"/>
      <c r="D125"/>
      <c r="E125"/>
      <c r="F125"/>
      <c r="G125"/>
      <c r="CR125" s="649" t="str">
        <f t="shared" si="48"/>
        <v/>
      </c>
      <c r="CS125"/>
      <c r="CT125" s="949"/>
      <c r="CU125" s="950"/>
      <c r="CV125" s="950"/>
      <c r="CW125" s="950"/>
      <c r="CX125" s="951"/>
    </row>
    <row r="126" spans="2:103" ht="15" hidden="1" x14ac:dyDescent="0.25">
      <c r="C126"/>
      <c r="D126"/>
      <c r="E126"/>
      <c r="F126"/>
      <c r="G126"/>
      <c r="CR126" s="643" t="str">
        <f t="shared" si="48"/>
        <v/>
      </c>
      <c r="CS126"/>
      <c r="CT126" s="949" t="str">
        <f>IF($D$75&lt;&gt;"","",IF($E$76&lt;&gt;$D$12,"",IF($B$83&lt;&gt;"","",AM27)))</f>
        <v/>
      </c>
      <c r="CU126" s="950"/>
      <c r="CV126" s="950"/>
      <c r="CW126" s="950"/>
      <c r="CX126" s="951"/>
    </row>
    <row r="127" spans="2:103" ht="15" hidden="1" x14ac:dyDescent="0.25">
      <c r="C127"/>
      <c r="D127"/>
      <c r="E127"/>
      <c r="F127"/>
      <c r="G127"/>
      <c r="CR127" s="643" t="str">
        <f t="shared" si="48"/>
        <v/>
      </c>
      <c r="CS127"/>
      <c r="CT127" s="949" t="str">
        <f>IF($D$75&lt;&gt;"","",IF($E$76&lt;&gt;$D$12,"",IF($B$83&lt;&gt;"","",AM28)))</f>
        <v/>
      </c>
      <c r="CU127" s="950"/>
      <c r="CV127" s="950"/>
      <c r="CW127" s="950"/>
      <c r="CX127" s="951"/>
    </row>
    <row r="128" spans="2:103" ht="15" hidden="1" x14ac:dyDescent="0.25">
      <c r="C128"/>
      <c r="D128"/>
      <c r="E128"/>
      <c r="F128"/>
      <c r="G128"/>
      <c r="CR128" s="643" t="str">
        <f t="shared" si="48"/>
        <v/>
      </c>
      <c r="CS128"/>
      <c r="CT128" s="184"/>
      <c r="CU128" s="184"/>
      <c r="CV128" s="184"/>
      <c r="CW128" s="511"/>
      <c r="CX128" s="511"/>
    </row>
    <row r="129" spans="2:103" ht="15" hidden="1" x14ac:dyDescent="0.25">
      <c r="C129"/>
      <c r="D129"/>
      <c r="E129"/>
      <c r="F129"/>
      <c r="G129"/>
      <c r="CR129" s="643" t="str">
        <f t="shared" si="48"/>
        <v/>
      </c>
      <c r="CS129"/>
      <c r="CT129"/>
      <c r="CU129"/>
      <c r="CV129"/>
    </row>
    <row r="130" spans="2:103" hidden="1" x14ac:dyDescent="0.25">
      <c r="CR130"/>
      <c r="CS130"/>
      <c r="CT130"/>
      <c r="CU130"/>
      <c r="CV130"/>
    </row>
    <row r="131" spans="2:103" ht="15.6" hidden="1" x14ac:dyDescent="0.3">
      <c r="B131" s="463"/>
      <c r="CR131"/>
      <c r="CS131"/>
      <c r="CT131"/>
      <c r="CU131"/>
      <c r="CV131"/>
    </row>
    <row r="132" spans="2:103" ht="15.6" hidden="1" x14ac:dyDescent="0.3">
      <c r="B132" s="463"/>
      <c r="CR132" s="510"/>
    </row>
    <row r="133" spans="2:103" ht="15.6" hidden="1" x14ac:dyDescent="0.3">
      <c r="B133" s="463"/>
      <c r="CR133" s="510"/>
    </row>
    <row r="134" spans="2:103" ht="15.6" hidden="1" x14ac:dyDescent="0.3">
      <c r="B134" s="463"/>
      <c r="CR134" s="510"/>
    </row>
    <row r="135" spans="2:103" ht="15.6" hidden="1" x14ac:dyDescent="0.3">
      <c r="CR135" s="510"/>
    </row>
    <row r="136" spans="2:103" ht="15.6" hidden="1" x14ac:dyDescent="0.3">
      <c r="CR136" s="510"/>
    </row>
    <row r="137" spans="2:103" ht="15.6" hidden="1" x14ac:dyDescent="0.3">
      <c r="CR137" s="463" t="str">
        <f>C101</f>
        <v/>
      </c>
    </row>
    <row r="138" spans="2:103" ht="15.6" hidden="1" x14ac:dyDescent="0.3">
      <c r="CR138" s="463"/>
    </row>
    <row r="139" spans="2:103" ht="15.6" hidden="1" x14ac:dyDescent="0.3">
      <c r="CR139" s="463" t="str">
        <f>IF($D$75&lt;&gt;"","",IF($E$76&lt;&gt;$D$12,"",IF($B$83&lt;&gt;"","",C93&amp;" "&amp;C96&amp;" "&amp;C98&amp;" "&amp;C99&amp;" "&amp;B123&amp;C110&amp;J110)))</f>
        <v/>
      </c>
    </row>
    <row r="140" spans="2:103" ht="15" hidden="1" x14ac:dyDescent="0.25">
      <c r="CR140" s="511" t="str">
        <f>C106</f>
        <v/>
      </c>
    </row>
    <row r="141" spans="2:103" ht="14.85" hidden="1" customHeight="1" x14ac:dyDescent="0.25">
      <c r="CR141" s="512" t="str">
        <f>IF($D$75&lt;&gt;"","",IF($E$76&lt;&gt;$D$12,"",IF($B$83&lt;&gt;"","","ALOJ.")))</f>
        <v/>
      </c>
      <c r="CS141" s="512"/>
      <c r="CT141" s="512"/>
      <c r="CU141" s="512"/>
      <c r="CV141" s="512"/>
      <c r="CW141" s="512"/>
      <c r="CX141" s="512"/>
      <c r="CY141" s="512"/>
    </row>
    <row r="142" spans="2:103" ht="14.85" hidden="1" customHeight="1" x14ac:dyDescent="0.25">
      <c r="CR142" s="512" t="str">
        <f>IF($D$75&lt;&gt;"","",IF($E$76&lt;&gt;$D$12,"",IF($B$83&lt;&gt;"","",C100)))</f>
        <v/>
      </c>
      <c r="CS142" s="512"/>
      <c r="CT142" s="512"/>
      <c r="CU142" s="512"/>
      <c r="CV142" s="512"/>
      <c r="CW142" s="512"/>
      <c r="CX142" s="512"/>
      <c r="CY142" s="512"/>
    </row>
    <row r="143" spans="2:103" ht="14.85" hidden="1" customHeight="1" x14ac:dyDescent="0.25">
      <c r="CR143" s="512"/>
      <c r="CS143" s="512"/>
      <c r="CT143" s="512"/>
      <c r="CU143" s="512"/>
      <c r="CV143" s="512"/>
      <c r="CW143" s="512"/>
      <c r="CX143" s="512"/>
      <c r="CY143" s="512"/>
    </row>
    <row r="144" spans="2:103" ht="15" hidden="1" x14ac:dyDescent="0.25">
      <c r="CR144" s="511"/>
    </row>
    <row r="145" spans="96:103" ht="14.85" hidden="1" customHeight="1" x14ac:dyDescent="0.25">
      <c r="CR145" s="947"/>
      <c r="CS145" s="947"/>
      <c r="CT145" s="947"/>
      <c r="CU145" s="947"/>
      <c r="CV145" s="947"/>
      <c r="CW145" s="947"/>
      <c r="CX145" s="947"/>
      <c r="CY145" s="947"/>
    </row>
    <row r="146" spans="96:103" ht="13.05" hidden="1" customHeight="1" x14ac:dyDescent="0.25">
      <c r="CR146" s="947"/>
      <c r="CS146" s="947"/>
      <c r="CT146" s="947"/>
      <c r="CU146" s="947"/>
      <c r="CV146" s="947"/>
      <c r="CW146" s="947"/>
      <c r="CX146" s="947"/>
      <c r="CY146" s="947"/>
    </row>
    <row r="147" spans="96:103" ht="13.05" hidden="1" customHeight="1" x14ac:dyDescent="0.25">
      <c r="CR147" s="514"/>
      <c r="CS147" s="514"/>
      <c r="CT147" s="514"/>
      <c r="CU147" s="514"/>
      <c r="CV147" s="515" t="s">
        <v>381</v>
      </c>
      <c r="CW147" s="514"/>
      <c r="CX147" s="514"/>
      <c r="CY147" s="514"/>
    </row>
    <row r="148" spans="96:103" hidden="1" x14ac:dyDescent="0.25"/>
    <row r="149" spans="96:103" ht="13.05" hidden="1" customHeight="1" x14ac:dyDescent="0.25">
      <c r="CR149" s="948"/>
      <c r="CS149" s="948"/>
      <c r="CT149" s="948"/>
      <c r="CU149" s="948"/>
      <c r="CV149" s="948"/>
      <c r="CW149" s="513"/>
      <c r="CX149" s="513"/>
      <c r="CY149" s="513"/>
    </row>
    <row r="150" spans="96:103" hidden="1" x14ac:dyDescent="0.25">
      <c r="CR150" s="948"/>
      <c r="CS150" s="948"/>
      <c r="CT150" s="948"/>
      <c r="CU150" s="948"/>
      <c r="CV150" s="948"/>
      <c r="CW150" s="513"/>
      <c r="CX150" s="513"/>
      <c r="CY150" s="513"/>
    </row>
    <row r="151" spans="96:103" hidden="1" x14ac:dyDescent="0.25">
      <c r="CR151" s="948"/>
      <c r="CS151" s="948"/>
      <c r="CT151" s="948"/>
      <c r="CU151" s="948"/>
      <c r="CV151" s="948"/>
      <c r="CW151" s="513"/>
      <c r="CX151" s="513"/>
      <c r="CY151" s="513"/>
    </row>
    <row r="152" spans="96:103" hidden="1" x14ac:dyDescent="0.25">
      <c r="CR152" s="513"/>
      <c r="CS152" s="513"/>
      <c r="CT152" s="513"/>
      <c r="CU152" s="513"/>
      <c r="CV152" s="513"/>
      <c r="CW152" s="513"/>
      <c r="CX152" s="513"/>
      <c r="CY152" s="513"/>
    </row>
    <row r="153" spans="96:103" hidden="1" x14ac:dyDescent="0.25">
      <c r="CR153" s="513"/>
      <c r="CS153" s="513"/>
      <c r="CT153" s="513"/>
      <c r="CU153" s="513"/>
      <c r="CV153" s="513"/>
      <c r="CW153" s="513"/>
      <c r="CX153" s="513"/>
      <c r="CY153" s="513"/>
    </row>
    <row r="154" spans="96:103" hidden="1" x14ac:dyDescent="0.25">
      <c r="CR154" s="260"/>
      <c r="CS154" s="260"/>
      <c r="CT154" s="260"/>
      <c r="CU154" s="260"/>
      <c r="CV154" s="260"/>
      <c r="CW154" s="260"/>
      <c r="CX154" s="260"/>
    </row>
    <row r="155" spans="96:103" hidden="1" x14ac:dyDescent="0.25">
      <c r="CR155" s="260"/>
      <c r="CS155" s="260"/>
      <c r="CT155" s="260"/>
      <c r="CU155" s="260"/>
      <c r="CV155" s="260"/>
      <c r="CW155" s="260"/>
      <c r="CX155" s="260"/>
    </row>
    <row r="156" spans="96:103" hidden="1" x14ac:dyDescent="0.25"/>
    <row r="157" spans="96:103" hidden="1" x14ac:dyDescent="0.25"/>
    <row r="158" spans="96:103" hidden="1" x14ac:dyDescent="0.25">
      <c r="CR158" s="946"/>
      <c r="CS158" s="946"/>
      <c r="CT158" s="946"/>
      <c r="CU158" s="946"/>
      <c r="CV158" s="946"/>
      <c r="CW158" s="946"/>
      <c r="CX158" s="946"/>
      <c r="CY158" s="946"/>
    </row>
    <row r="159" spans="96:103" hidden="1" x14ac:dyDescent="0.25">
      <c r="CR159" s="946"/>
      <c r="CS159" s="946"/>
      <c r="CT159" s="946"/>
      <c r="CU159" s="946"/>
      <c r="CV159" s="946"/>
      <c r="CW159" s="946"/>
      <c r="CX159" s="946"/>
      <c r="CY159" s="946"/>
    </row>
    <row r="160" spans="96:103"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sheetData>
  <sheetProtection algorithmName="SHA-512" hashValue="2Oje3l9OjvW8FkziT9R8sOU3VcHIOFXYdXfGuvJeqIK4qzmCIqZCSiMw0SWG97m34IXq7+6RfPeGw47z1LAYsA==" saltValue="6l0BY3MSQwZLgQvEY1jtzg==" spinCount="100000" sheet="1" selectLockedCells="1"/>
  <sortState xmlns:xlrd2="http://schemas.microsoft.com/office/spreadsheetml/2017/richdata2" ref="K49:K59">
    <sortCondition ref="K49"/>
  </sortState>
  <dataConsolidate/>
  <mergeCells count="289">
    <mergeCell ref="H42:I42"/>
    <mergeCell ref="G47:H47"/>
    <mergeCell ref="Z54:AA54"/>
    <mergeCell ref="AH57:AI57"/>
    <mergeCell ref="AH58:AI58"/>
    <mergeCell ref="AH59:AI59"/>
    <mergeCell ref="C65:D65"/>
    <mergeCell ref="B71:H71"/>
    <mergeCell ref="AH48:AI48"/>
    <mergeCell ref="B47:F47"/>
    <mergeCell ref="Z50:AA50"/>
    <mergeCell ref="Z51:AA51"/>
    <mergeCell ref="Z52:AA52"/>
    <mergeCell ref="Z53:AA53"/>
    <mergeCell ref="AD71:AG71"/>
    <mergeCell ref="AD70:AG70"/>
    <mergeCell ref="H49:I49"/>
    <mergeCell ref="AD48:AE48"/>
    <mergeCell ref="AD49:AE49"/>
    <mergeCell ref="AD50:AE50"/>
    <mergeCell ref="AD53:AE53"/>
    <mergeCell ref="AD54:AE54"/>
    <mergeCell ref="AD58:AE58"/>
    <mergeCell ref="AH53:AI53"/>
    <mergeCell ref="F33:I33"/>
    <mergeCell ref="H41:I41"/>
    <mergeCell ref="F36:I36"/>
    <mergeCell ref="H40:I40"/>
    <mergeCell ref="H25:I25"/>
    <mergeCell ref="E20:I20"/>
    <mergeCell ref="E21:I21"/>
    <mergeCell ref="H26:I26"/>
    <mergeCell ref="AM36:AN36"/>
    <mergeCell ref="H24:I24"/>
    <mergeCell ref="H39:I39"/>
    <mergeCell ref="F34:I34"/>
    <mergeCell ref="F32:I32"/>
    <mergeCell ref="B30:F30"/>
    <mergeCell ref="G30:H30"/>
    <mergeCell ref="D90:F90"/>
    <mergeCell ref="C100:I100"/>
    <mergeCell ref="C99:I99"/>
    <mergeCell ref="C98:I98"/>
    <mergeCell ref="B86:I86"/>
    <mergeCell ref="B79:I79"/>
    <mergeCell ref="B83:I83"/>
    <mergeCell ref="C48:D49"/>
    <mergeCell ref="B70:H70"/>
    <mergeCell ref="B64:G64"/>
    <mergeCell ref="H91:I91"/>
    <mergeCell ref="H92:I92"/>
    <mergeCell ref="B87:G87"/>
    <mergeCell ref="B88:I88"/>
    <mergeCell ref="H53:I53"/>
    <mergeCell ref="H52:I52"/>
    <mergeCell ref="AM10:AN10"/>
    <mergeCell ref="AD12:AF12"/>
    <mergeCell ref="AD13:AF13"/>
    <mergeCell ref="B46:F46"/>
    <mergeCell ref="H27:I27"/>
    <mergeCell ref="H28:I28"/>
    <mergeCell ref="D60:F60"/>
    <mergeCell ref="D61:G61"/>
    <mergeCell ref="B60:C60"/>
    <mergeCell ref="B57:E57"/>
    <mergeCell ref="C14:I14"/>
    <mergeCell ref="C13:F13"/>
    <mergeCell ref="H13:I13"/>
    <mergeCell ref="AD51:AE51"/>
    <mergeCell ref="AD52:AE52"/>
    <mergeCell ref="Z55:AA55"/>
    <mergeCell ref="H43:I43"/>
    <mergeCell ref="AD38:AF38"/>
    <mergeCell ref="AD39:AF39"/>
    <mergeCell ref="AD40:AF40"/>
    <mergeCell ref="AH49:AI49"/>
    <mergeCell ref="AH50:AI50"/>
    <mergeCell ref="AH51:AI51"/>
    <mergeCell ref="AH52:AI52"/>
    <mergeCell ref="D12:F12"/>
    <mergeCell ref="C10:I10"/>
    <mergeCell ref="C4:I4"/>
    <mergeCell ref="C7:I7"/>
    <mergeCell ref="H9:I9"/>
    <mergeCell ref="C8:I8"/>
    <mergeCell ref="B113:B114"/>
    <mergeCell ref="C113:C114"/>
    <mergeCell ref="D113:I114"/>
    <mergeCell ref="D110:G110"/>
    <mergeCell ref="D112:G112"/>
    <mergeCell ref="H112:I112"/>
    <mergeCell ref="C111:I111"/>
    <mergeCell ref="C97:I97"/>
    <mergeCell ref="C93:I93"/>
    <mergeCell ref="C104:I105"/>
    <mergeCell ref="C106:I109"/>
    <mergeCell ref="B104:B105"/>
    <mergeCell ref="C95:I95"/>
    <mergeCell ref="C96:I96"/>
    <mergeCell ref="B106:B107"/>
    <mergeCell ref="B108:B109"/>
    <mergeCell ref="C101:I101"/>
    <mergeCell ref="C102:I103"/>
    <mergeCell ref="C15:F15"/>
    <mergeCell ref="H15:I15"/>
    <mergeCell ref="E17:I17"/>
    <mergeCell ref="E18:I18"/>
    <mergeCell ref="D37:E37"/>
    <mergeCell ref="E19:I19"/>
    <mergeCell ref="F35:I35"/>
    <mergeCell ref="P1:T1"/>
    <mergeCell ref="P2:T2"/>
    <mergeCell ref="M4:O4"/>
    <mergeCell ref="M7:N7"/>
    <mergeCell ref="M5:N5"/>
    <mergeCell ref="M6:N6"/>
    <mergeCell ref="P5:Q5"/>
    <mergeCell ref="P6:Q6"/>
    <mergeCell ref="P7:Q7"/>
    <mergeCell ref="M1:O1"/>
    <mergeCell ref="M2:O2"/>
    <mergeCell ref="P8:Q8"/>
    <mergeCell ref="C2:H2"/>
    <mergeCell ref="C3:H3"/>
    <mergeCell ref="C11:H11"/>
    <mergeCell ref="B12:C12"/>
    <mergeCell ref="H12:I12"/>
    <mergeCell ref="P4:R4"/>
    <mergeCell ref="K6:L6"/>
    <mergeCell ref="M8:N8"/>
    <mergeCell ref="V70:AC70"/>
    <mergeCell ref="V71:AC71"/>
    <mergeCell ref="V26:AB26"/>
    <mergeCell ref="V41:AC41"/>
    <mergeCell ref="V42:AC42"/>
    <mergeCell ref="V43:AC43"/>
    <mergeCell ref="V15:AB15"/>
    <mergeCell ref="V16:AB16"/>
    <mergeCell ref="V17:AB17"/>
    <mergeCell ref="V24:AB24"/>
    <mergeCell ref="V25:AB25"/>
    <mergeCell ref="V33:AC33"/>
    <mergeCell ref="Z48:AA48"/>
    <mergeCell ref="Z49:AA49"/>
    <mergeCell ref="Z59:AA59"/>
    <mergeCell ref="AC15:AG15"/>
    <mergeCell ref="AC16:AG16"/>
    <mergeCell ref="AD25:AG25"/>
    <mergeCell ref="AD26:AG26"/>
    <mergeCell ref="Z58:AA58"/>
    <mergeCell ref="AD57:AE57"/>
    <mergeCell ref="AH54:AI54"/>
    <mergeCell ref="AH55:AI55"/>
    <mergeCell ref="AH56:AI56"/>
    <mergeCell ref="CS2:CX2"/>
    <mergeCell ref="CS3:CX3"/>
    <mergeCell ref="CS4:CY4"/>
    <mergeCell ref="CX9:CY9"/>
    <mergeCell ref="CS10:CY10"/>
    <mergeCell ref="CS11:CX11"/>
    <mergeCell ref="CR12:CS12"/>
    <mergeCell ref="CT12:CV12"/>
    <mergeCell ref="CX12:CY12"/>
    <mergeCell ref="CS7:CY8"/>
    <mergeCell ref="CS13:CV13"/>
    <mergeCell ref="CX13:CY13"/>
    <mergeCell ref="CS14:CY14"/>
    <mergeCell ref="CS15:CV15"/>
    <mergeCell ref="CX15:CY15"/>
    <mergeCell ref="CU17:CY17"/>
    <mergeCell ref="CU18:CY18"/>
    <mergeCell ref="CU19:CY19"/>
    <mergeCell ref="CU20:CY20"/>
    <mergeCell ref="CU21:CY21"/>
    <mergeCell ref="CX24:CY24"/>
    <mergeCell ref="CX25:CY25"/>
    <mergeCell ref="CX26:CY26"/>
    <mergeCell ref="CX27:CY27"/>
    <mergeCell ref="CX28:CY28"/>
    <mergeCell ref="CR30:CV30"/>
    <mergeCell ref="CW30:CX30"/>
    <mergeCell ref="CV32:CY32"/>
    <mergeCell ref="CV33:CY33"/>
    <mergeCell ref="CV34:CY34"/>
    <mergeCell ref="CV35:CY35"/>
    <mergeCell ref="CV36:CY36"/>
    <mergeCell ref="CT37:CU37"/>
    <mergeCell ref="CX39:CY39"/>
    <mergeCell ref="CX40:CY40"/>
    <mergeCell ref="CX41:CY41"/>
    <mergeCell ref="CX42:CY42"/>
    <mergeCell ref="CX43:CY43"/>
    <mergeCell ref="CR46:CV46"/>
    <mergeCell ref="CR47:CV47"/>
    <mergeCell ref="CW47:CX47"/>
    <mergeCell ref="CS48:CT49"/>
    <mergeCell ref="CT55:CW55"/>
    <mergeCell ref="CR57:CU57"/>
    <mergeCell ref="CR58:CU58"/>
    <mergeCell ref="CR59:CS59"/>
    <mergeCell ref="CT59:CU59"/>
    <mergeCell ref="CU49:CV49"/>
    <mergeCell ref="CR60:CS60"/>
    <mergeCell ref="CT60:CV60"/>
    <mergeCell ref="CT61:CW61"/>
    <mergeCell ref="CR63:CW63"/>
    <mergeCell ref="CS99:CY99"/>
    <mergeCell ref="CS100:CY100"/>
    <mergeCell ref="CS101:CY101"/>
    <mergeCell ref="CR64:CW64"/>
    <mergeCell ref="CS65:CT65"/>
    <mergeCell ref="CU65:CW65"/>
    <mergeCell ref="CR66:CW66"/>
    <mergeCell ref="CR67:CW67"/>
    <mergeCell ref="CS68:CW68"/>
    <mergeCell ref="CR70:CX70"/>
    <mergeCell ref="CR71:CX71"/>
    <mergeCell ref="CT72:CW72"/>
    <mergeCell ref="CT113:CY114"/>
    <mergeCell ref="CR104:CR105"/>
    <mergeCell ref="CS104:CY105"/>
    <mergeCell ref="CT73:CX73"/>
    <mergeCell ref="CT75:CX75"/>
    <mergeCell ref="CU76:CX76"/>
    <mergeCell ref="CU77:CW77"/>
    <mergeCell ref="CR78:CU78"/>
    <mergeCell ref="CV78:CX78"/>
    <mergeCell ref="CR106:CR107"/>
    <mergeCell ref="CS106:CY109"/>
    <mergeCell ref="CR108:CR109"/>
    <mergeCell ref="CT80:CX80"/>
    <mergeCell ref="CR83:CY83"/>
    <mergeCell ref="CR86:CY86"/>
    <mergeCell ref="CR88:CY88"/>
    <mergeCell ref="CT90:CV90"/>
    <mergeCell ref="CX91:CY91"/>
    <mergeCell ref="CX92:CY92"/>
    <mergeCell ref="CS93:CY93"/>
    <mergeCell ref="CS95:CY95"/>
    <mergeCell ref="CS96:CY96"/>
    <mergeCell ref="CS97:CY97"/>
    <mergeCell ref="CS98:CY98"/>
    <mergeCell ref="CR158:CY159"/>
    <mergeCell ref="CR145:CY146"/>
    <mergeCell ref="CR149:CV151"/>
    <mergeCell ref="CT126:CX126"/>
    <mergeCell ref="CT127:CX127"/>
    <mergeCell ref="CT125:CX125"/>
    <mergeCell ref="CT124:CX124"/>
    <mergeCell ref="CR116:CR121"/>
    <mergeCell ref="AD59:AE59"/>
    <mergeCell ref="CS102:CY103"/>
    <mergeCell ref="CR87:CY87"/>
    <mergeCell ref="CR124:CS124"/>
    <mergeCell ref="CS116:CX116"/>
    <mergeCell ref="CS117:CX117"/>
    <mergeCell ref="CS118:CX118"/>
    <mergeCell ref="CS119:CX119"/>
    <mergeCell ref="CS120:CX120"/>
    <mergeCell ref="CS121:CX121"/>
    <mergeCell ref="CT110:CW110"/>
    <mergeCell ref="CS111:CY111"/>
    <mergeCell ref="CT112:CW112"/>
    <mergeCell ref="CX112:CY112"/>
    <mergeCell ref="CR113:CR114"/>
    <mergeCell ref="CS113:CS114"/>
    <mergeCell ref="Z57:AA57"/>
    <mergeCell ref="AD56:AE56"/>
    <mergeCell ref="AD55:AE55"/>
    <mergeCell ref="B78:I78"/>
    <mergeCell ref="Z56:AA56"/>
    <mergeCell ref="E77:G77"/>
    <mergeCell ref="E76:H76"/>
    <mergeCell ref="B58:E58"/>
    <mergeCell ref="B59:C59"/>
    <mergeCell ref="D59:E59"/>
    <mergeCell ref="D75:H75"/>
    <mergeCell ref="D73:H73"/>
    <mergeCell ref="B66:G66"/>
    <mergeCell ref="C68:G68"/>
    <mergeCell ref="D55:G55"/>
    <mergeCell ref="B67:G67"/>
    <mergeCell ref="D72:G72"/>
    <mergeCell ref="B63:G63"/>
    <mergeCell ref="E65:G65"/>
    <mergeCell ref="AD69:AG69"/>
    <mergeCell ref="AD72:AG72"/>
    <mergeCell ref="V73:AC73"/>
    <mergeCell ref="V72:AC72"/>
  </mergeCells>
  <phoneticPr fontId="0" type="noConversion"/>
  <conditionalFormatting sqref="H27">
    <cfRule type="expression" dxfId="443" priority="296">
      <formula>$H$27&lt;&gt;""</formula>
    </cfRule>
    <cfRule type="expression" dxfId="442" priority="379" stopIfTrue="1">
      <formula>$H$27="Falta indicar las noches"</formula>
    </cfRule>
  </conditionalFormatting>
  <conditionalFormatting sqref="D37:E37">
    <cfRule type="containsText" dxfId="441" priority="353" operator="containsText" text="ELIJA EL PAÍS">
      <formula>NOT(ISERROR(SEARCH("ELIJA EL PAÍS",D37)))</formula>
    </cfRule>
  </conditionalFormatting>
  <conditionalFormatting sqref="C39">
    <cfRule type="expression" dxfId="440" priority="330">
      <formula>$H$39="Falta indicar las noches"</formula>
    </cfRule>
  </conditionalFormatting>
  <conditionalFormatting sqref="C42">
    <cfRule type="expression" dxfId="439" priority="326">
      <formula>$H$42="Falta indicar las noches"</formula>
    </cfRule>
  </conditionalFormatting>
  <conditionalFormatting sqref="C43">
    <cfRule type="expression" dxfId="438" priority="321">
      <formula>$H$43="Falta indicar los días"</formula>
    </cfRule>
  </conditionalFormatting>
  <conditionalFormatting sqref="D32:F32">
    <cfRule type="expression" dxfId="437" priority="275">
      <formula>$D$32&lt;&gt;""</formula>
    </cfRule>
    <cfRule type="expression" dxfId="436" priority="283">
      <formula>$B$75&lt;&gt;""</formula>
    </cfRule>
  </conditionalFormatting>
  <conditionalFormatting sqref="H61">
    <cfRule type="expression" dxfId="435" priority="257">
      <formula>$D$72&lt;&gt;""</formula>
    </cfRule>
    <cfRule type="expression" dxfId="434" priority="262">
      <formula>$B$75&lt;&gt;""</formula>
    </cfRule>
    <cfRule type="expression" dxfId="433" priority="279">
      <formula>$B$78&lt;&gt;""</formula>
    </cfRule>
  </conditionalFormatting>
  <conditionalFormatting sqref="H63">
    <cfRule type="expression" dxfId="432" priority="256">
      <formula>$D$72&lt;&gt;""</formula>
    </cfRule>
    <cfRule type="expression" dxfId="431" priority="272">
      <formula>$B$75&lt;&gt;""</formula>
    </cfRule>
    <cfRule type="expression" dxfId="430" priority="277">
      <formula>$B$78&lt;&gt;""</formula>
    </cfRule>
  </conditionalFormatting>
  <conditionalFormatting sqref="D55">
    <cfRule type="expression" dxfId="429" priority="276">
      <formula>$D$55="ELIJA LA OPCIÓN DEL TRANSPORTE"</formula>
    </cfRule>
  </conditionalFormatting>
  <conditionalFormatting sqref="D55">
    <cfRule type="expression" dxfId="428" priority="255">
      <formula>$D$55="LIQUIDACIÓN NO VÁLIDA, INDIQUE LA MATRICULA"</formula>
    </cfRule>
  </conditionalFormatting>
  <conditionalFormatting sqref="H64">
    <cfRule type="expression" dxfId="427" priority="241">
      <formula>$H$64&lt;&gt;""</formula>
    </cfRule>
  </conditionalFormatting>
  <conditionalFormatting sqref="B20">
    <cfRule type="expression" dxfId="426" priority="237">
      <formula>$B$20="Falta indicar la hora"</formula>
    </cfRule>
  </conditionalFormatting>
  <conditionalFormatting sqref="D75:H75">
    <cfRule type="expression" dxfId="425" priority="229">
      <formula>$D$75&lt;&gt;""</formula>
    </cfRule>
  </conditionalFormatting>
  <conditionalFormatting sqref="D20">
    <cfRule type="expression" dxfId="424" priority="227">
      <formula>$B$20="Falta indicar la hora"</formula>
    </cfRule>
  </conditionalFormatting>
  <conditionalFormatting sqref="B60:C60">
    <cfRule type="expression" dxfId="423" priority="220">
      <formula>$B$60&lt;&gt;""</formula>
    </cfRule>
  </conditionalFormatting>
  <conditionalFormatting sqref="D60">
    <cfRule type="expression" dxfId="422" priority="219">
      <formula>$D$59="SÍ"</formula>
    </cfRule>
  </conditionalFormatting>
  <conditionalFormatting sqref="C7:I7 C8">
    <cfRule type="expression" dxfId="421" priority="218">
      <formula>$C$7&lt;&gt;""</formula>
    </cfRule>
  </conditionalFormatting>
  <conditionalFormatting sqref="C10:I10">
    <cfRule type="expression" dxfId="420" priority="217">
      <formula>$C$10&lt;&gt;"LIQUIDACIÓN DE DIETAS Y GASTOS DE LOCOMOCIÓN"</formula>
    </cfRule>
  </conditionalFormatting>
  <conditionalFormatting sqref="G49">
    <cfRule type="expression" dxfId="419" priority="216">
      <formula>$C$50&lt;&gt;""</formula>
    </cfRule>
  </conditionalFormatting>
  <conditionalFormatting sqref="E76:H76">
    <cfRule type="expression" dxfId="418" priority="215">
      <formula>$E$76&lt;&gt;D12</formula>
    </cfRule>
  </conditionalFormatting>
  <conditionalFormatting sqref="F35">
    <cfRule type="expression" dxfId="417" priority="213">
      <formula>$F$35="Falta indicar la hora"</formula>
    </cfRule>
  </conditionalFormatting>
  <conditionalFormatting sqref="E35">
    <cfRule type="expression" dxfId="416" priority="209">
      <formula>$F$35="Falta indicar la hora"</formula>
    </cfRule>
  </conditionalFormatting>
  <conditionalFormatting sqref="C44">
    <cfRule type="expression" dxfId="415" priority="208">
      <formula>$B$44=$P$6</formula>
    </cfRule>
  </conditionalFormatting>
  <conditionalFormatting sqref="G29">
    <cfRule type="expression" dxfId="414" priority="207">
      <formula>$B$29=$P$6</formula>
    </cfRule>
  </conditionalFormatting>
  <conditionalFormatting sqref="G44">
    <cfRule type="expression" dxfId="413" priority="206">
      <formula>$B$44=$P$6</formula>
    </cfRule>
  </conditionalFormatting>
  <conditionalFormatting sqref="H25:I25">
    <cfRule type="expression" dxfId="412" priority="201">
      <formula>$H$25="Falta indicar las noches"</formula>
    </cfRule>
    <cfRule type="expression" dxfId="411" priority="205">
      <formula>$H$25=$M$25</formula>
    </cfRule>
  </conditionalFormatting>
  <conditionalFormatting sqref="H24:I24">
    <cfRule type="expression" dxfId="410" priority="202">
      <formula>$H$24="Falta indicar las noches"</formula>
    </cfRule>
  </conditionalFormatting>
  <conditionalFormatting sqref="H28:I28">
    <cfRule type="expression" dxfId="409" priority="200">
      <formula>$H$28="Falta indicar los días"</formula>
    </cfRule>
  </conditionalFormatting>
  <conditionalFormatting sqref="H39:I39">
    <cfRule type="expression" dxfId="408" priority="198">
      <formula>$H$39="Falta indicar las noches"</formula>
    </cfRule>
  </conditionalFormatting>
  <conditionalFormatting sqref="H40:I40">
    <cfRule type="expression" dxfId="407" priority="196">
      <formula>$H$40=M25</formula>
    </cfRule>
    <cfRule type="expression" dxfId="406" priority="197">
      <formula>$H$40="Falta indicar las noches"</formula>
    </cfRule>
  </conditionalFormatting>
  <conditionalFormatting sqref="C40">
    <cfRule type="expression" dxfId="405" priority="195">
      <formula>$H$40="Falta indicar las noches"</formula>
    </cfRule>
  </conditionalFormatting>
  <conditionalFormatting sqref="H43:I43">
    <cfRule type="expression" dxfId="404" priority="194">
      <formula>$H$43=$K$13</formula>
    </cfRule>
  </conditionalFormatting>
  <conditionalFormatting sqref="B10">
    <cfRule type="expression" dxfId="403" priority="193">
      <formula>$C$10=K15</formula>
    </cfRule>
  </conditionalFormatting>
  <conditionalFormatting sqref="G40">
    <cfRule type="expression" dxfId="402" priority="192">
      <formula>$H$40="Falta indicar las noches"</formula>
    </cfRule>
  </conditionalFormatting>
  <conditionalFormatting sqref="B18">
    <cfRule type="expression" dxfId="401" priority="191">
      <formula>$B$18="Falta indicar la hora"</formula>
    </cfRule>
  </conditionalFormatting>
  <conditionalFormatting sqref="E33">
    <cfRule type="expression" dxfId="400" priority="189">
      <formula>$F$33="Falta indicar la hora"</formula>
    </cfRule>
  </conditionalFormatting>
  <conditionalFormatting sqref="F33:I33">
    <cfRule type="expression" dxfId="399" priority="188">
      <formula>$F$33="Falta indicar la hora"</formula>
    </cfRule>
  </conditionalFormatting>
  <conditionalFormatting sqref="B11">
    <cfRule type="expression" dxfId="398" priority="187">
      <formula>$B$11="1º Elija la Opción"</formula>
    </cfRule>
  </conditionalFormatting>
  <conditionalFormatting sqref="D12:F12">
    <cfRule type="expression" dxfId="397" priority="186">
      <formula>$B$11=$K$11</formula>
    </cfRule>
  </conditionalFormatting>
  <conditionalFormatting sqref="H12:I12">
    <cfRule type="expression" dxfId="396" priority="185">
      <formula>$B$11=$K$11</formula>
    </cfRule>
  </conditionalFormatting>
  <conditionalFormatting sqref="C13:F13">
    <cfRule type="expression" dxfId="395" priority="184">
      <formula>$B$11=$K$11</formula>
    </cfRule>
  </conditionalFormatting>
  <conditionalFormatting sqref="G12">
    <cfRule type="expression" dxfId="394" priority="183">
      <formula>$B$11=$K$11</formula>
    </cfRule>
  </conditionalFormatting>
  <conditionalFormatting sqref="G13">
    <cfRule type="expression" dxfId="393" priority="182">
      <formula>$B$11=$K$11</formula>
    </cfRule>
  </conditionalFormatting>
  <conditionalFormatting sqref="H13:I13">
    <cfRule type="expression" dxfId="392" priority="181">
      <formula>$B$11=$K$11</formula>
    </cfRule>
  </conditionalFormatting>
  <conditionalFormatting sqref="C14:I14">
    <cfRule type="expression" dxfId="391" priority="180">
      <formula>$B$11=$K$11</formula>
    </cfRule>
  </conditionalFormatting>
  <conditionalFormatting sqref="C15:F15">
    <cfRule type="expression" dxfId="390" priority="179">
      <formula>$B$11=$K$11</formula>
    </cfRule>
  </conditionalFormatting>
  <conditionalFormatting sqref="G15">
    <cfRule type="expression" dxfId="389" priority="178">
      <formula>$B$11=$K$11</formula>
    </cfRule>
  </conditionalFormatting>
  <conditionalFormatting sqref="H15:I15">
    <cfRule type="expression" dxfId="388" priority="177">
      <formula>$B$11=$K$11</formula>
    </cfRule>
  </conditionalFormatting>
  <conditionalFormatting sqref="C16">
    <cfRule type="expression" dxfId="387" priority="176">
      <formula>$B$11=$K$11</formula>
    </cfRule>
  </conditionalFormatting>
  <conditionalFormatting sqref="D16">
    <cfRule type="expression" dxfId="386" priority="175">
      <formula>$B$11=$K$11</formula>
    </cfRule>
  </conditionalFormatting>
  <conditionalFormatting sqref="E16">
    <cfRule type="expression" dxfId="385" priority="174">
      <formula>$B$11=$K$11</formula>
    </cfRule>
  </conditionalFormatting>
  <conditionalFormatting sqref="F16">
    <cfRule type="expression" dxfId="384" priority="173">
      <formula>$B$11=$K$11</formula>
    </cfRule>
  </conditionalFormatting>
  <conditionalFormatting sqref="G60">
    <cfRule type="expression" dxfId="383" priority="167">
      <formula>$D$60&lt;&gt;""</formula>
    </cfRule>
    <cfRule type="expression" dxfId="382" priority="168">
      <formula>$D$60=""</formula>
    </cfRule>
  </conditionalFormatting>
  <conditionalFormatting sqref="H66">
    <cfRule type="expression" dxfId="381" priority="165">
      <formula>$C$65="NO"</formula>
    </cfRule>
    <cfRule type="expression" dxfId="380" priority="430">
      <formula>$C$65="SÍ"</formula>
    </cfRule>
  </conditionalFormatting>
  <conditionalFormatting sqref="B66:G66">
    <cfRule type="expression" dxfId="379" priority="164">
      <formula>$B$66="HE SOLICITADO UN ANTICIPO Y NO DESEO RENUNCIAR"</formula>
    </cfRule>
  </conditionalFormatting>
  <conditionalFormatting sqref="B59:C59">
    <cfRule type="expression" dxfId="378" priority="162">
      <formula>$D$59="SI"</formula>
    </cfRule>
  </conditionalFormatting>
  <conditionalFormatting sqref="B67:G67">
    <cfRule type="expression" dxfId="377" priority="161">
      <formula>$B$67&lt;&gt;""</formula>
    </cfRule>
  </conditionalFormatting>
  <conditionalFormatting sqref="C65:D65">
    <cfRule type="expression" dxfId="376" priority="159">
      <formula>$C$65="NO"</formula>
    </cfRule>
    <cfRule type="expression" dxfId="375" priority="160">
      <formula>$C$65="sí"</formula>
    </cfRule>
  </conditionalFormatting>
  <conditionalFormatting sqref="D59:E59">
    <cfRule type="expression" dxfId="374" priority="155">
      <formula>$D$59="SÍ"</formula>
    </cfRule>
    <cfRule type="expression" dxfId="373" priority="157">
      <formula>$D$59="NO"</formula>
    </cfRule>
  </conditionalFormatting>
  <conditionalFormatting sqref="CX27">
    <cfRule type="expression" dxfId="372" priority="139">
      <formula>$H$27&lt;&gt;""</formula>
    </cfRule>
    <cfRule type="expression" dxfId="371" priority="144" stopIfTrue="1">
      <formula>$H$27="Falta indicar las noches"</formula>
    </cfRule>
  </conditionalFormatting>
  <conditionalFormatting sqref="CT37:CU37">
    <cfRule type="containsText" dxfId="370" priority="143" operator="containsText" text="ELIJA EL PAÍS">
      <formula>NOT(ISERROR(SEARCH("ELIJA EL PAÍS",CT37)))</formula>
    </cfRule>
  </conditionalFormatting>
  <conditionalFormatting sqref="CT32:CV32">
    <cfRule type="expression" dxfId="369" priority="134">
      <formula>$D$32&lt;&gt;""</formula>
    </cfRule>
    <cfRule type="expression" dxfId="368" priority="138">
      <formula>$B$75&lt;&gt;""</formula>
    </cfRule>
  </conditionalFormatting>
  <conditionalFormatting sqref="CX61">
    <cfRule type="expression" dxfId="367" priority="131">
      <formula>$D$72&lt;&gt;""</formula>
    </cfRule>
    <cfRule type="expression" dxfId="366" priority="132">
      <formula>$B$75&lt;&gt;""</formula>
    </cfRule>
    <cfRule type="expression" dxfId="365" priority="137">
      <formula>$B$78&lt;&gt;""</formula>
    </cfRule>
  </conditionalFormatting>
  <conditionalFormatting sqref="CX63">
    <cfRule type="expression" dxfId="364" priority="130">
      <formula>$D$72&lt;&gt;""</formula>
    </cfRule>
    <cfRule type="expression" dxfId="363" priority="133">
      <formula>$B$75&lt;&gt;""</formula>
    </cfRule>
    <cfRule type="expression" dxfId="362" priority="136">
      <formula>$B$78&lt;&gt;""</formula>
    </cfRule>
  </conditionalFormatting>
  <conditionalFormatting sqref="CT55">
    <cfRule type="expression" dxfId="361" priority="135">
      <formula>$D$55="ELIJA LA OPCIÓN DEL TRANSPORTE"</formula>
    </cfRule>
  </conditionalFormatting>
  <conditionalFormatting sqref="CT55">
    <cfRule type="expression" dxfId="360" priority="129">
      <formula>$D$55="LIQUIDACIÓN NO VÁLIDA, INDIQUE LA MATRICULA"</formula>
    </cfRule>
  </conditionalFormatting>
  <conditionalFormatting sqref="CX64">
    <cfRule type="expression" dxfId="359" priority="128">
      <formula>$H$64&lt;&gt;""</formula>
    </cfRule>
  </conditionalFormatting>
  <conditionalFormatting sqref="CT20">
    <cfRule type="expression" dxfId="358" priority="125">
      <formula>$B$20="Falta indicar la hora"</formula>
    </cfRule>
  </conditionalFormatting>
  <conditionalFormatting sqref="CR60:CS60">
    <cfRule type="expression" dxfId="357" priority="122">
      <formula>$B$60&lt;&gt;""</formula>
    </cfRule>
  </conditionalFormatting>
  <conditionalFormatting sqref="CT60">
    <cfRule type="expression" dxfId="356" priority="121">
      <formula>$D$59="SÍ"</formula>
    </cfRule>
  </conditionalFormatting>
  <conditionalFormatting sqref="CW49">
    <cfRule type="expression" dxfId="355" priority="118">
      <formula>$C$50&lt;&gt;""</formula>
    </cfRule>
  </conditionalFormatting>
  <conditionalFormatting sqref="CV35">
    <cfRule type="expression" dxfId="354" priority="116">
      <formula>$F$35="Falta indicar la hora"</formula>
    </cfRule>
  </conditionalFormatting>
  <conditionalFormatting sqref="CU35">
    <cfRule type="expression" dxfId="353" priority="114">
      <formula>$F$35="Falta indicar la hora"</formula>
    </cfRule>
  </conditionalFormatting>
  <conditionalFormatting sqref="CX24:CY24">
    <cfRule type="expression" dxfId="352" priority="107">
      <formula>$H$24="Falta indicar las noches"</formula>
    </cfRule>
  </conditionalFormatting>
  <conditionalFormatting sqref="CX28:CY28">
    <cfRule type="expression" dxfId="351" priority="105">
      <formula>$H$28="Falta indicar los días"</formula>
    </cfRule>
  </conditionalFormatting>
  <conditionalFormatting sqref="CX39:CY39">
    <cfRule type="expression" dxfId="350" priority="104">
      <formula>$H$39="Falta indicar las noches"</formula>
    </cfRule>
  </conditionalFormatting>
  <conditionalFormatting sqref="CX40:CY40">
    <cfRule type="expression" dxfId="349" priority="102">
      <formula>$H$40=DC25</formula>
    </cfRule>
    <cfRule type="expression" dxfId="348" priority="103">
      <formula>$H$40="Falta indicar las noches"</formula>
    </cfRule>
  </conditionalFormatting>
  <conditionalFormatting sqref="CX43:CY43">
    <cfRule type="expression" dxfId="347" priority="100">
      <formula>$H$43=$K$13</formula>
    </cfRule>
  </conditionalFormatting>
  <conditionalFormatting sqref="CR10">
    <cfRule type="expression" dxfId="346" priority="99">
      <formula>$C$10=DA15</formula>
    </cfRule>
  </conditionalFormatting>
  <conditionalFormatting sqref="CR18">
    <cfRule type="expression" dxfId="345" priority="97">
      <formula>$B$18="Falta indicar la hora"</formula>
    </cfRule>
  </conditionalFormatting>
  <conditionalFormatting sqref="CU33">
    <cfRule type="expression" dxfId="344" priority="96">
      <formula>$F$33="Falta indicar la hora"</formula>
    </cfRule>
  </conditionalFormatting>
  <conditionalFormatting sqref="CV33:CY33">
    <cfRule type="expression" dxfId="343" priority="95">
      <formula>$F$33="Falta indicar la hora"</formula>
    </cfRule>
  </conditionalFormatting>
  <conditionalFormatting sqref="CT12:CV12">
    <cfRule type="expression" dxfId="342" priority="69">
      <formula>$B$83&lt;&gt;""</formula>
    </cfRule>
    <cfRule type="expression" dxfId="341" priority="93">
      <formula>$B$11=$K$11</formula>
    </cfRule>
  </conditionalFormatting>
  <conditionalFormatting sqref="CX12:CY12">
    <cfRule type="expression" dxfId="340" priority="68">
      <formula>$B$83&lt;&gt;""</formula>
    </cfRule>
    <cfRule type="expression" dxfId="339" priority="92">
      <formula>$B$11=$K$11</formula>
    </cfRule>
  </conditionalFormatting>
  <conditionalFormatting sqref="CS13:CV13">
    <cfRule type="expression" dxfId="338" priority="67">
      <formula>$B$83&lt;&gt;""</formula>
    </cfRule>
    <cfRule type="expression" dxfId="337" priority="91">
      <formula>$B$11=$K$11</formula>
    </cfRule>
  </conditionalFormatting>
  <conditionalFormatting sqref="CW12:CW13">
    <cfRule type="expression" dxfId="336" priority="90">
      <formula>$B$11=$K$11</formula>
    </cfRule>
  </conditionalFormatting>
  <conditionalFormatting sqref="CX13:CY13">
    <cfRule type="expression" dxfId="335" priority="66">
      <formula>$B$83&lt;&gt;""</formula>
    </cfRule>
    <cfRule type="expression" dxfId="334" priority="88">
      <formula>$B$11=$K$11</formula>
    </cfRule>
  </conditionalFormatting>
  <conditionalFormatting sqref="CS14:CY14">
    <cfRule type="expression" dxfId="333" priority="65">
      <formula>$B$83&lt;&gt;""</formula>
    </cfRule>
    <cfRule type="expression" dxfId="332" priority="87">
      <formula>$B$11=$K$11</formula>
    </cfRule>
  </conditionalFormatting>
  <conditionalFormatting sqref="CS15:CV15">
    <cfRule type="expression" dxfId="331" priority="64">
      <formula>$B$83&lt;&gt;""</formula>
    </cfRule>
    <cfRule type="expression" dxfId="330" priority="86">
      <formula>$B$11=$K$11</formula>
    </cfRule>
  </conditionalFormatting>
  <conditionalFormatting sqref="CW15">
    <cfRule type="expression" dxfId="329" priority="85">
      <formula>$B$11=$K$11</formula>
    </cfRule>
  </conditionalFormatting>
  <conditionalFormatting sqref="CX15:CY15">
    <cfRule type="expression" dxfId="328" priority="63">
      <formula>$B$83&lt;&gt;""</formula>
    </cfRule>
    <cfRule type="expression" dxfId="327" priority="84">
      <formula>$B$11=$K$11</formula>
    </cfRule>
  </conditionalFormatting>
  <conditionalFormatting sqref="CS16">
    <cfRule type="expression" dxfId="326" priority="83">
      <formula>$B$11=$K$11</formula>
    </cfRule>
  </conditionalFormatting>
  <conditionalFormatting sqref="CT16">
    <cfRule type="expression" dxfId="325" priority="62">
      <formula>$B$83&lt;&gt;""</formula>
    </cfRule>
    <cfRule type="expression" dxfId="324" priority="82">
      <formula>$B$11=$K$11</formula>
    </cfRule>
  </conditionalFormatting>
  <conditionalFormatting sqref="CU16">
    <cfRule type="expression" dxfId="323" priority="81">
      <formula>$B$11=$K$11</formula>
    </cfRule>
  </conditionalFormatting>
  <conditionalFormatting sqref="CV16">
    <cfRule type="expression" dxfId="322" priority="61">
      <formula>$B$83&lt;&gt;""</formula>
    </cfRule>
    <cfRule type="expression" dxfId="321" priority="80">
      <formula>$B$11=$K$11</formula>
    </cfRule>
  </conditionalFormatting>
  <conditionalFormatting sqref="CW60">
    <cfRule type="expression" dxfId="320" priority="78">
      <formula>$D$60&lt;&gt;""</formula>
    </cfRule>
    <cfRule type="expression" dxfId="319" priority="79">
      <formula>$D$60=""</formula>
    </cfRule>
  </conditionalFormatting>
  <conditionalFormatting sqref="CX66">
    <cfRule type="expression" dxfId="318" priority="77">
      <formula>$C$65="NO"</formula>
    </cfRule>
    <cfRule type="expression" dxfId="317" priority="145">
      <formula>$C$65="SÍ"</formula>
    </cfRule>
  </conditionalFormatting>
  <conditionalFormatting sqref="CR66:CW66">
    <cfRule type="expression" dxfId="316" priority="76">
      <formula>$B$66="HE SOLICITADO UN ANTICIPO Y NO DESEO RENUNCIAR"</formula>
    </cfRule>
  </conditionalFormatting>
  <conditionalFormatting sqref="CR59:CS59">
    <cfRule type="expression" dxfId="315" priority="75">
      <formula>$D$59="SI"</formula>
    </cfRule>
  </conditionalFormatting>
  <conditionalFormatting sqref="CS65:CT65">
    <cfRule type="expression" dxfId="314" priority="72">
      <formula>$C$65="NO"</formula>
    </cfRule>
    <cfRule type="expression" dxfId="313" priority="73">
      <formula>$C$65="sí"</formula>
    </cfRule>
  </conditionalFormatting>
  <conditionalFormatting sqref="CT59:CU59">
    <cfRule type="expression" dxfId="312" priority="70">
      <formula>$D$59="SÍ"</formula>
    </cfRule>
    <cfRule type="expression" dxfId="311" priority="71">
      <formula>$D$59="NO"</formula>
    </cfRule>
  </conditionalFormatting>
  <conditionalFormatting sqref="CX25:CY25">
    <cfRule type="expression" dxfId="310" priority="59">
      <formula>$H$25=$M$25</formula>
    </cfRule>
    <cfRule type="expression" dxfId="309" priority="60">
      <formula>$H$25="Falta indicar las noches"</formula>
    </cfRule>
  </conditionalFormatting>
  <conditionalFormatting sqref="CR20">
    <cfRule type="expression" dxfId="308" priority="58">
      <formula>$B$20="Falta indicar la hora"</formula>
    </cfRule>
  </conditionalFormatting>
  <conditionalFormatting sqref="B38">
    <cfRule type="expression" dxfId="307" priority="42">
      <formula>$C$38&lt;&gt;""</formula>
    </cfRule>
  </conditionalFormatting>
  <conditionalFormatting sqref="D38">
    <cfRule type="expression" dxfId="306" priority="41">
      <formula>$C$38&lt;&gt;""</formula>
    </cfRule>
  </conditionalFormatting>
  <conditionalFormatting sqref="B39">
    <cfRule type="expression" dxfId="305" priority="40">
      <formula>$C$39&lt;&gt;""</formula>
    </cfRule>
  </conditionalFormatting>
  <conditionalFormatting sqref="D39">
    <cfRule type="expression" dxfId="304" priority="39">
      <formula>$C$39&lt;&gt;""</formula>
    </cfRule>
  </conditionalFormatting>
  <conditionalFormatting sqref="B40">
    <cfRule type="expression" dxfId="303" priority="38">
      <formula>$C$40&lt;&gt;""</formula>
    </cfRule>
  </conditionalFormatting>
  <conditionalFormatting sqref="D40">
    <cfRule type="expression" dxfId="302" priority="37">
      <formula>$C$40&lt;&gt;""</formula>
    </cfRule>
  </conditionalFormatting>
  <conditionalFormatting sqref="B41">
    <cfRule type="expression" dxfId="301" priority="36">
      <formula>$C$41&lt;&gt;""</formula>
    </cfRule>
  </conditionalFormatting>
  <conditionalFormatting sqref="D41">
    <cfRule type="expression" dxfId="300" priority="35">
      <formula>$C$41&lt;&gt;""</formula>
    </cfRule>
  </conditionalFormatting>
  <conditionalFormatting sqref="B42">
    <cfRule type="expression" dxfId="299" priority="34">
      <formula>$C$42&lt;&gt;""</formula>
    </cfRule>
  </conditionalFormatting>
  <conditionalFormatting sqref="D42">
    <cfRule type="expression" dxfId="298" priority="33">
      <formula>$C$42&lt;&gt;""</formula>
    </cfRule>
  </conditionalFormatting>
  <conditionalFormatting sqref="B43">
    <cfRule type="expression" dxfId="297" priority="32">
      <formula>$C$43&lt;&gt;""</formula>
    </cfRule>
  </conditionalFormatting>
  <conditionalFormatting sqref="B44">
    <cfRule type="expression" dxfId="296" priority="31">
      <formula>$C$44&lt;&gt;""</formula>
    </cfRule>
  </conditionalFormatting>
  <conditionalFormatting sqref="D43">
    <cfRule type="expression" dxfId="295" priority="30">
      <formula>$C$43&lt;&gt;""</formula>
    </cfRule>
  </conditionalFormatting>
  <conditionalFormatting sqref="D44">
    <cfRule type="expression" dxfId="294" priority="29">
      <formula>$C$44&lt;&gt;""</formula>
    </cfRule>
  </conditionalFormatting>
  <conditionalFormatting sqref="B23">
    <cfRule type="expression" dxfId="293" priority="28">
      <formula>$C$23&lt;&gt;""</formula>
    </cfRule>
  </conditionalFormatting>
  <conditionalFormatting sqref="B24">
    <cfRule type="expression" dxfId="292" priority="27">
      <formula>$C$24&lt;&gt;""</formula>
    </cfRule>
  </conditionalFormatting>
  <conditionalFormatting sqref="B25">
    <cfRule type="expression" dxfId="291" priority="26">
      <formula>$C$25&lt;&gt;""</formula>
    </cfRule>
  </conditionalFormatting>
  <conditionalFormatting sqref="D23">
    <cfRule type="expression" dxfId="290" priority="25">
      <formula>$C$23&lt;&gt;""</formula>
    </cfRule>
  </conditionalFormatting>
  <conditionalFormatting sqref="D24">
    <cfRule type="expression" dxfId="289" priority="24">
      <formula>$C$24&lt;&gt;""</formula>
    </cfRule>
  </conditionalFormatting>
  <conditionalFormatting sqref="D25">
    <cfRule type="expression" dxfId="288" priority="23">
      <formula>$C$25&lt;&gt;""</formula>
    </cfRule>
  </conditionalFormatting>
  <conditionalFormatting sqref="F57">
    <cfRule type="expression" dxfId="287" priority="22">
      <formula>$F$57&lt;&gt;0</formula>
    </cfRule>
  </conditionalFormatting>
  <conditionalFormatting sqref="G57">
    <cfRule type="expression" dxfId="286" priority="21">
      <formula>$G$57&lt;&gt;0</formula>
    </cfRule>
  </conditionalFormatting>
  <conditionalFormatting sqref="H57">
    <cfRule type="expression" dxfId="285" priority="20">
      <formula>$H$57&lt;&gt;0</formula>
    </cfRule>
  </conditionalFormatting>
  <conditionalFormatting sqref="H55">
    <cfRule type="expression" dxfId="284" priority="19">
      <formula>$H$55&lt;&gt;0</formula>
    </cfRule>
  </conditionalFormatting>
  <conditionalFormatting sqref="G47:H47">
    <cfRule type="expression" dxfId="283" priority="18">
      <formula>$G$47&lt;&gt;0</formula>
    </cfRule>
  </conditionalFormatting>
  <conditionalFormatting sqref="G30:H30">
    <cfRule type="expression" dxfId="282" priority="17">
      <formula>$G$30&lt;&gt;0</formula>
    </cfRule>
  </conditionalFormatting>
  <conditionalFormatting sqref="H58">
    <cfRule type="expression" dxfId="281" priority="16">
      <formula>$H$58&lt;&gt;0</formula>
    </cfRule>
  </conditionalFormatting>
  <conditionalFormatting sqref="F58">
    <cfRule type="expression" dxfId="280" priority="15">
      <formula>$F$58&lt;&gt;0</formula>
    </cfRule>
  </conditionalFormatting>
  <conditionalFormatting sqref="G58">
    <cfRule type="expression" dxfId="279" priority="14">
      <formula>$G$58&lt;&gt;0</formula>
    </cfRule>
  </conditionalFormatting>
  <conditionalFormatting sqref="B26">
    <cfRule type="expression" dxfId="278" priority="13">
      <formula>$C$26&lt;&gt;""</formula>
    </cfRule>
  </conditionalFormatting>
  <conditionalFormatting sqref="B27">
    <cfRule type="expression" dxfId="277" priority="12">
      <formula>$C$27&lt;&gt;""</formula>
    </cfRule>
  </conditionalFormatting>
  <conditionalFormatting sqref="B28">
    <cfRule type="expression" dxfId="276" priority="11">
      <formula>$C$28&lt;&gt;""</formula>
    </cfRule>
  </conditionalFormatting>
  <conditionalFormatting sqref="B29">
    <cfRule type="expression" dxfId="275" priority="10">
      <formula>$C$29&lt;&gt;""</formula>
    </cfRule>
  </conditionalFormatting>
  <conditionalFormatting sqref="D26">
    <cfRule type="expression" dxfId="274" priority="9">
      <formula>$C$26&lt;&gt;""</formula>
    </cfRule>
  </conditionalFormatting>
  <conditionalFormatting sqref="D27">
    <cfRule type="expression" dxfId="273" priority="8">
      <formula>$C$27&lt;&gt;""</formula>
    </cfRule>
  </conditionalFormatting>
  <conditionalFormatting sqref="D28">
    <cfRule type="expression" dxfId="272" priority="7">
      <formula>$C$28&lt;&gt;""</formula>
    </cfRule>
  </conditionalFormatting>
  <conditionalFormatting sqref="D29">
    <cfRule type="expression" dxfId="271" priority="6">
      <formula>$C$29&lt;&gt;""</formula>
    </cfRule>
  </conditionalFormatting>
  <conditionalFormatting sqref="CS29">
    <cfRule type="expression" dxfId="270" priority="5">
      <formula>$B$29=$P$6</formula>
    </cfRule>
  </conditionalFormatting>
  <conditionalFormatting sqref="CS44">
    <cfRule type="expression" dxfId="269" priority="3">
      <formula>$B$44=$P$6</formula>
    </cfRule>
  </conditionalFormatting>
  <conditionalFormatting sqref="H49:I49">
    <cfRule type="expression" dxfId="268" priority="2">
      <formula>$C$50&lt;&gt;""</formula>
    </cfRule>
  </conditionalFormatting>
  <dataValidations xWindow="585" yWindow="241" count="24">
    <dataValidation type="list" allowBlank="1" showInputMessage="1" showErrorMessage="1" sqref="D37:E37" xr:uid="{00000000-0002-0000-0100-000000000000}">
      <formula1>PAISES</formula1>
    </dataValidation>
    <dataValidation type="decimal" allowBlank="1" showInputMessage="1" showErrorMessage="1" errorTitle="ERROR" error="Puede que haya introducido un formato no válido o el número tenga un valor muy alto." prompt="Pagos a Terceros_x000a_Cuando el Servicio de Fiscalización paga el Congreso,_x000a_" sqref="G58" xr:uid="{00000000-0002-0000-0100-000001000000}">
      <formula1>L57</formula1>
      <formula2>L58</formula2>
    </dataValidation>
    <dataValidation type="list" allowBlank="1" showInputMessage="1" showErrorMessage="1" errorTitle="ATENCIÓN" error="DEBE ELEGIR UNA OPCIÓN" sqref="B10" xr:uid="{00000000-0002-0000-0100-000002000000}">
      <formula1>$R$20:$R$25</formula1>
    </dataValidation>
    <dataValidation type="list" allowBlank="1" showInputMessage="1" showErrorMessage="1" errorTitle="RESPONDA SÍ o NO" error="Responda SÍ o NO" sqref="D59" xr:uid="{00000000-0002-0000-0100-000003000000}">
      <formula1>$M$55:$M$57</formula1>
    </dataValidation>
    <dataValidation type="time" allowBlank="1" showInputMessage="1" showErrorMessage="1" errorTitle="ATENCIÓN" error="DEBE UTILIZAR EL FORMATO DE HORA:_x000a_hh:mm Ej: 24:35" sqref="D19" xr:uid="{00000000-0002-0000-0100-000004000000}">
      <formula1>$E$114</formula1>
      <formula2>$E$115</formula2>
    </dataValidation>
    <dataValidation type="time" allowBlank="1" showInputMessage="1" showErrorMessage="1" errorTitle="ATENCIÓN" error="DEBE UTILIZAR EL FORMATO DE HORA:_x000a_hh:mm ej:24:35" sqref="D20" xr:uid="{00000000-0002-0000-0100-000005000000}">
      <formula1>L8</formula1>
      <formula2>L9</formula2>
    </dataValidation>
    <dataValidation type="time" allowBlank="1" showInputMessage="1" showErrorMessage="1" errorTitle="ATENCIÓN" error="DEBE UTILIZAR EL FORMATO DE HORA:_x000a_hh:mm  Ej.: 14:30" sqref="E34" xr:uid="{00000000-0002-0000-0100-000006000000}">
      <formula1>$E$114</formula1>
      <formula2>$E$115</formula2>
    </dataValidation>
    <dataValidation type="date" allowBlank="1" showInputMessage="1" showErrorMessage="1" errorTitle="ATENCIÓN:" error="DEBE UTILIZAR EL FORMATO DE FECHA:_x000a_DD/MM/AAAA_x000a_EJEMPLO 16/02/2018_x000a_" sqref="C34" xr:uid="{00000000-0002-0000-0100-000007000000}">
      <formula1>$D$114</formula1>
      <formula2>$D$115</formula2>
    </dataValidation>
    <dataValidation type="date" allowBlank="1" showInputMessage="1" showErrorMessage="1" errorTitle="ATENCIÓN:" error="DEBE UTILIZAR EL FORMATO DE FECHA:_x000a_DD/MM/AAAA_x000a_EJEMPLO 16/02/2018" sqref="C19" xr:uid="{00000000-0002-0000-0100-000008000000}">
      <formula1>$D$114</formula1>
      <formula2>$D$115</formula2>
    </dataValidation>
    <dataValidation type="date" allowBlank="1" showInputMessage="1" showErrorMessage="1" errorTitle="ATENCIÓN:" error="DEBE UTILIZAR EL FORMATO DE FECHA:_x000a_DD/MM/AAAA_x000a_EJEMPLO 16/02/2018" sqref="C18" xr:uid="{00000000-0002-0000-0100-000009000000}">
      <formula1>K8</formula1>
      <formula2>K9</formula2>
    </dataValidation>
    <dataValidation type="time" allowBlank="1" showInputMessage="1" showErrorMessage="1" errorTitle="ATENCIÓN" error="DEBE UTILIZAR EL FORMATO DE HORA:_x000a_hh:mm Ej: 14:30" sqref="D18" xr:uid="{00000000-0002-0000-0100-00000A000000}">
      <formula1>L8</formula1>
      <formula2>L9</formula2>
    </dataValidation>
    <dataValidation type="time" allowBlank="1" showInputMessage="1" showErrorMessage="1" errorTitle="ATENCIÓN" error="DEBE UTILIZAR EL FORMATO DE HORA:_x000a_hh:mm Ej: 14:30" sqref="E33" xr:uid="{00000000-0002-0000-0100-00000B000000}">
      <formula1>L8</formula1>
      <formula2>L9</formula2>
    </dataValidation>
    <dataValidation type="time" allowBlank="1" showInputMessage="1" showErrorMessage="1" errorTitle="ATENCIÓN" error="DEBE UTILIZAR EL FORMATO DE HORA:_x000a_hh:mm ej:24:35" sqref="E35" xr:uid="{00000000-0002-0000-0100-00000C000000}">
      <formula1>L8</formula1>
      <formula2>L9</formula2>
    </dataValidation>
    <dataValidation type="list" allowBlank="1" showInputMessage="1" showErrorMessage="1" sqref="C51:C54 E51:E54" xr:uid="{00000000-0002-0000-0100-00000D000000}">
      <formula1>$P$15:$P$26</formula1>
    </dataValidation>
    <dataValidation type="date" allowBlank="1" showInputMessage="1" showErrorMessage="1" errorTitle="ATENCIÓN:" error="DEBE UTILIZAR EL FORMATO DE FECHA:_x000a_DD/MM/AAAA_x000a_EJEMPLO 16/02/2018" sqref="D16" xr:uid="{00000000-0002-0000-0100-00000E000000}">
      <formula1>K8</formula1>
      <formula2>K9</formula2>
    </dataValidation>
    <dataValidation type="date" allowBlank="1" showInputMessage="1" showErrorMessage="1" errorTitle="ATENCIÓN:" error="DEBE UTILIZAR EL FORMATO DE FECHA:_x000a_DD/MM/AAAA_x000a_EJEMPLO 16/02/2018" sqref="F16" xr:uid="{00000000-0002-0000-0100-00000F000000}">
      <formula1>K8</formula1>
      <formula2>K9</formula2>
    </dataValidation>
    <dataValidation type="date" allowBlank="1" showInputMessage="1" showErrorMessage="1" errorTitle="ATENCIÓN:" error="DEBE UTILIZAR EL FORMATO DE FECHA:_x000a_DD/MM/AAAA_x000a_EJEMPLO 16/02/2018" sqref="C33" xr:uid="{00000000-0002-0000-0100-000010000000}">
      <formula1>K8</formula1>
      <formula2>K9</formula2>
    </dataValidation>
    <dataValidation type="date" allowBlank="1" showInputMessage="1" showErrorMessage="1" errorTitle="ATENCIÓN:" error="DEBE UTILIZAR EL FORMATO DE FECHA:_x000a_DD/MM/AAAA_x000a_EJEMPLO 16/02/2018" sqref="C35" xr:uid="{00000000-0002-0000-0100-000011000000}">
      <formula1>K8</formula1>
      <formula2>K9</formula2>
    </dataValidation>
    <dataValidation type="date" allowBlank="1" showInputMessage="1" showErrorMessage="1" errorTitle="ATENCIÓN:" error="DEBE UTILIZAR EL FORMATO DE FECHA:_x000a_DD/MM/AAAA_x000a_EJEMPLO 16/02/2018" sqref="C20" xr:uid="{00000000-0002-0000-0100-000012000000}">
      <formula1>K8</formula1>
      <formula2>K9</formula2>
    </dataValidation>
    <dataValidation type="list" allowBlank="1" showInputMessage="1" showErrorMessage="1" sqref="C65" xr:uid="{00000000-0002-0000-0100-000013000000}">
      <formula1>$M$55:$M$57</formula1>
    </dataValidation>
    <dataValidation type="decimal" allowBlank="1" showInputMessage="1" showErrorMessage="1" errorTitle="ERROR" error="Puede que haya introducido un formato no válido o el número tenga un valor muy alto." sqref="G57" xr:uid="{00000000-0002-0000-0100-000014000000}">
      <formula1>L57</formula1>
      <formula2>L58</formula2>
    </dataValidation>
    <dataValidation type="decimal" allowBlank="1" showInputMessage="1" showErrorMessage="1" errorTitle="ERROR" error="Puede que haya introducido un formato no válido o el número tenga un valor muy alto." sqref="F57" xr:uid="{00000000-0002-0000-0100-000015000000}">
      <formula1>L57</formula1>
      <formula2>L58</formula2>
    </dataValidation>
    <dataValidation type="decimal" allowBlank="1" showInputMessage="1" showErrorMessage="1" errorTitle="ERROR" error="Puede que haya introducido un formato no válido o el número tenga un valor muy alto." prompt="Pagos a Terceros_x000a_Cuando el Servicio de Fiscalización paga el Congreso,_x000a_" sqref="F58" xr:uid="{00000000-0002-0000-0100-000016000000}">
      <formula1>L57</formula1>
      <formula2>L58</formula2>
    </dataValidation>
    <dataValidation type="whole" allowBlank="1" showInputMessage="1" showErrorMessage="1" errorTitle="ATENCIÓN" error="NO ESCRIBIR CERO NI NÚMEROS DECIMALES, CANCELAR PARA ELIMINAR" sqref="C23:C29 C38:C44" xr:uid="{00000000-0002-0000-0100-000017000000}">
      <formula1>$L$84</formula1>
      <formula2>$L$85</formula2>
    </dataValidation>
  </dataValidations>
  <hyperlinks>
    <hyperlink ref="C48:D49" location="KM!A1" display="Consulta de Km" xr:uid="{00000000-0004-0000-0100-000000000000}"/>
    <hyperlink ref="H49:I49" r:id="rId1" display="(Consultar) " xr:uid="{00000000-0004-0000-0100-000003000000}"/>
    <hyperlink ref="F59" location="'justifique su anticipo'!A1" display="justifique su anticipo" xr:uid="{00000000-0004-0000-0100-000008000000}"/>
  </hyperlinks>
  <printOptions horizontalCentered="1" verticalCentered="1"/>
  <pageMargins left="0" right="0" top="0" bottom="0" header="0" footer="0"/>
  <pageSetup paperSize="9" scale="67" orientation="portrait" blackAndWhite="1"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FF0000"/>
  </sheetPr>
  <dimension ref="A2:P9"/>
  <sheetViews>
    <sheetView zoomScale="97" zoomScaleNormal="97" workbookViewId="0">
      <selection activeCell="A5" sqref="A5:XFD5"/>
    </sheetView>
  </sheetViews>
  <sheetFormatPr baseColWidth="10" defaultRowHeight="13.2" x14ac:dyDescent="0.25"/>
  <cols>
    <col min="1" max="2" width="11.5546875" style="275"/>
    <col min="3" max="3" width="13.33203125" style="275" customWidth="1"/>
    <col min="4" max="6" width="11.5546875" style="275"/>
    <col min="7" max="7" width="14.5546875" style="275" customWidth="1"/>
    <col min="8" max="9" width="11.5546875" style="275"/>
    <col min="10" max="10" width="12.44140625" style="275" customWidth="1"/>
    <col min="11" max="11" width="26" style="275" customWidth="1"/>
    <col min="12" max="12" width="19" style="275" customWidth="1"/>
    <col min="13" max="13" width="22.88671875" style="275" customWidth="1"/>
    <col min="14" max="14" width="11.5546875" style="275"/>
    <col min="15" max="15" width="13.88671875" style="275" customWidth="1"/>
    <col min="16" max="270" width="11.5546875" style="275"/>
    <col min="271" max="271" width="13.88671875" style="275" customWidth="1"/>
    <col min="272" max="526" width="11.5546875" style="275"/>
    <col min="527" max="527" width="13.88671875" style="275" customWidth="1"/>
    <col min="528" max="782" width="11.5546875" style="275"/>
    <col min="783" max="783" width="13.88671875" style="275" customWidth="1"/>
    <col min="784" max="1038" width="11.5546875" style="275"/>
    <col min="1039" max="1039" width="13.88671875" style="275" customWidth="1"/>
    <col min="1040" max="1294" width="11.5546875" style="275"/>
    <col min="1295" max="1295" width="13.88671875" style="275" customWidth="1"/>
    <col min="1296" max="1550" width="11.5546875" style="275"/>
    <col min="1551" max="1551" width="13.88671875" style="275" customWidth="1"/>
    <col min="1552" max="1806" width="11.5546875" style="275"/>
    <col min="1807" max="1807" width="13.88671875" style="275" customWidth="1"/>
    <col min="1808" max="2062" width="11.5546875" style="275"/>
    <col min="2063" max="2063" width="13.88671875" style="275" customWidth="1"/>
    <col min="2064" max="2318" width="11.5546875" style="275"/>
    <col min="2319" max="2319" width="13.88671875" style="275" customWidth="1"/>
    <col min="2320" max="2574" width="11.5546875" style="275"/>
    <col min="2575" max="2575" width="13.88671875" style="275" customWidth="1"/>
    <col min="2576" max="2830" width="11.5546875" style="275"/>
    <col min="2831" max="2831" width="13.88671875" style="275" customWidth="1"/>
    <col min="2832" max="3086" width="11.5546875" style="275"/>
    <col min="3087" max="3087" width="13.88671875" style="275" customWidth="1"/>
    <col min="3088" max="3342" width="11.5546875" style="275"/>
    <col min="3343" max="3343" width="13.88671875" style="275" customWidth="1"/>
    <col min="3344" max="3598" width="11.5546875" style="275"/>
    <col min="3599" max="3599" width="13.88671875" style="275" customWidth="1"/>
    <col min="3600" max="3854" width="11.5546875" style="275"/>
    <col min="3855" max="3855" width="13.88671875" style="275" customWidth="1"/>
    <col min="3856" max="4110" width="11.5546875" style="275"/>
    <col min="4111" max="4111" width="13.88671875" style="275" customWidth="1"/>
    <col min="4112" max="4366" width="11.5546875" style="275"/>
    <col min="4367" max="4367" width="13.88671875" style="275" customWidth="1"/>
    <col min="4368" max="4622" width="11.5546875" style="275"/>
    <col min="4623" max="4623" width="13.88671875" style="275" customWidth="1"/>
    <col min="4624" max="4878" width="11.5546875" style="275"/>
    <col min="4879" max="4879" width="13.88671875" style="275" customWidth="1"/>
    <col min="4880" max="5134" width="11.5546875" style="275"/>
    <col min="5135" max="5135" width="13.88671875" style="275" customWidth="1"/>
    <col min="5136" max="5390" width="11.5546875" style="275"/>
    <col min="5391" max="5391" width="13.88671875" style="275" customWidth="1"/>
    <col min="5392" max="5646" width="11.5546875" style="275"/>
    <col min="5647" max="5647" width="13.88671875" style="275" customWidth="1"/>
    <col min="5648" max="5902" width="11.5546875" style="275"/>
    <col min="5903" max="5903" width="13.88671875" style="275" customWidth="1"/>
    <col min="5904" max="6158" width="11.5546875" style="275"/>
    <col min="6159" max="6159" width="13.88671875" style="275" customWidth="1"/>
    <col min="6160" max="6414" width="11.5546875" style="275"/>
    <col min="6415" max="6415" width="13.88671875" style="275" customWidth="1"/>
    <col min="6416" max="6670" width="11.5546875" style="275"/>
    <col min="6671" max="6671" width="13.88671875" style="275" customWidth="1"/>
    <col min="6672" max="6926" width="11.5546875" style="275"/>
    <col min="6927" max="6927" width="13.88671875" style="275" customWidth="1"/>
    <col min="6928" max="7182" width="11.5546875" style="275"/>
    <col min="7183" max="7183" width="13.88671875" style="275" customWidth="1"/>
    <col min="7184" max="7438" width="11.5546875" style="275"/>
    <col min="7439" max="7439" width="13.88671875" style="275" customWidth="1"/>
    <col min="7440" max="7694" width="11.5546875" style="275"/>
    <col min="7695" max="7695" width="13.88671875" style="275" customWidth="1"/>
    <col min="7696" max="7950" width="11.5546875" style="275"/>
    <col min="7951" max="7951" width="13.88671875" style="275" customWidth="1"/>
    <col min="7952" max="8206" width="11.5546875" style="275"/>
    <col min="8207" max="8207" width="13.88671875" style="275" customWidth="1"/>
    <col min="8208" max="8462" width="11.5546875" style="275"/>
    <col min="8463" max="8463" width="13.88671875" style="275" customWidth="1"/>
    <col min="8464" max="8718" width="11.5546875" style="275"/>
    <col min="8719" max="8719" width="13.88671875" style="275" customWidth="1"/>
    <col min="8720" max="8974" width="11.5546875" style="275"/>
    <col min="8975" max="8975" width="13.88671875" style="275" customWidth="1"/>
    <col min="8976" max="9230" width="11.5546875" style="275"/>
    <col min="9231" max="9231" width="13.88671875" style="275" customWidth="1"/>
    <col min="9232" max="9486" width="11.5546875" style="275"/>
    <col min="9487" max="9487" width="13.88671875" style="275" customWidth="1"/>
    <col min="9488" max="9742" width="11.5546875" style="275"/>
    <col min="9743" max="9743" width="13.88671875" style="275" customWidth="1"/>
    <col min="9744" max="9998" width="11.5546875" style="275"/>
    <col min="9999" max="9999" width="13.88671875" style="275" customWidth="1"/>
    <col min="10000" max="10254" width="11.5546875" style="275"/>
    <col min="10255" max="10255" width="13.88671875" style="275" customWidth="1"/>
    <col min="10256" max="10510" width="11.5546875" style="275"/>
    <col min="10511" max="10511" width="13.88671875" style="275" customWidth="1"/>
    <col min="10512" max="10766" width="11.5546875" style="275"/>
    <col min="10767" max="10767" width="13.88671875" style="275" customWidth="1"/>
    <col min="10768" max="11022" width="11.5546875" style="275"/>
    <col min="11023" max="11023" width="13.88671875" style="275" customWidth="1"/>
    <col min="11024" max="11278" width="11.5546875" style="275"/>
    <col min="11279" max="11279" width="13.88671875" style="275" customWidth="1"/>
    <col min="11280" max="11534" width="11.5546875" style="275"/>
    <col min="11535" max="11535" width="13.88671875" style="275" customWidth="1"/>
    <col min="11536" max="11790" width="11.5546875" style="275"/>
    <col min="11791" max="11791" width="13.88671875" style="275" customWidth="1"/>
    <col min="11792" max="12046" width="11.5546875" style="275"/>
    <col min="12047" max="12047" width="13.88671875" style="275" customWidth="1"/>
    <col min="12048" max="12302" width="11.5546875" style="275"/>
    <col min="12303" max="12303" width="13.88671875" style="275" customWidth="1"/>
    <col min="12304" max="12558" width="11.5546875" style="275"/>
    <col min="12559" max="12559" width="13.88671875" style="275" customWidth="1"/>
    <col min="12560" max="12814" width="11.5546875" style="275"/>
    <col min="12815" max="12815" width="13.88671875" style="275" customWidth="1"/>
    <col min="12816" max="13070" width="11.5546875" style="275"/>
    <col min="13071" max="13071" width="13.88671875" style="275" customWidth="1"/>
    <col min="13072" max="13326" width="11.5546875" style="275"/>
    <col min="13327" max="13327" width="13.88671875" style="275" customWidth="1"/>
    <col min="13328" max="13582" width="11.5546875" style="275"/>
    <col min="13583" max="13583" width="13.88671875" style="275" customWidth="1"/>
    <col min="13584" max="13838" width="11.5546875" style="275"/>
    <col min="13839" max="13839" width="13.88671875" style="275" customWidth="1"/>
    <col min="13840" max="14094" width="11.5546875" style="275"/>
    <col min="14095" max="14095" width="13.88671875" style="275" customWidth="1"/>
    <col min="14096" max="14350" width="11.5546875" style="275"/>
    <col min="14351" max="14351" width="13.88671875" style="275" customWidth="1"/>
    <col min="14352" max="14606" width="11.5546875" style="275"/>
    <col min="14607" max="14607" width="13.88671875" style="275" customWidth="1"/>
    <col min="14608" max="14862" width="11.5546875" style="275"/>
    <col min="14863" max="14863" width="13.88671875" style="275" customWidth="1"/>
    <col min="14864" max="15118" width="11.5546875" style="275"/>
    <col min="15119" max="15119" width="13.88671875" style="275" customWidth="1"/>
    <col min="15120" max="15374" width="11.5546875" style="275"/>
    <col min="15375" max="15375" width="13.88671875" style="275" customWidth="1"/>
    <col min="15376" max="15630" width="11.5546875" style="275"/>
    <col min="15631" max="15631" width="13.88671875" style="275" customWidth="1"/>
    <col min="15632" max="15886" width="11.5546875" style="275"/>
    <col min="15887" max="15887" width="13.88671875" style="275" customWidth="1"/>
    <col min="15888" max="16142" width="11.5546875" style="275"/>
    <col min="16143" max="16143" width="13.88671875" style="275" customWidth="1"/>
    <col min="16144" max="16384" width="11.5546875" style="275"/>
  </cols>
  <sheetData>
    <row r="2" spans="1:16" ht="18" x14ac:dyDescent="0.25">
      <c r="A2" s="657" t="s">
        <v>260</v>
      </c>
      <c r="B2" s="1151" t="s">
        <v>428</v>
      </c>
      <c r="C2" s="1152"/>
      <c r="D2" s="1153"/>
      <c r="E2" s="1155" t="str">
        <f>'NACIONAL Y UN PAÍS  EXTRANJERO'!C2</f>
        <v/>
      </c>
      <c r="F2" s="1156"/>
      <c r="G2" s="1156"/>
      <c r="H2" s="1156"/>
      <c r="I2" s="294"/>
      <c r="J2" s="1158" t="s">
        <v>261</v>
      </c>
      <c r="K2" s="1158"/>
      <c r="L2" s="1158"/>
      <c r="M2" s="1158"/>
      <c r="N2" s="1158"/>
      <c r="O2" s="295"/>
      <c r="P2" s="296"/>
    </row>
    <row r="3" spans="1:16" ht="13.05" customHeight="1" x14ac:dyDescent="0.25">
      <c r="A3" s="1154" t="s">
        <v>262</v>
      </c>
      <c r="B3" s="1154" t="s">
        <v>263</v>
      </c>
      <c r="C3" s="1154" t="s">
        <v>264</v>
      </c>
      <c r="D3" s="1154" t="s">
        <v>265</v>
      </c>
      <c r="E3" s="1154" t="s">
        <v>266</v>
      </c>
      <c r="F3" s="1154" t="s">
        <v>267</v>
      </c>
      <c r="G3" s="1154" t="s">
        <v>268</v>
      </c>
      <c r="H3" s="1157" t="s">
        <v>269</v>
      </c>
      <c r="I3" s="1157" t="s">
        <v>270</v>
      </c>
      <c r="J3" s="1157" t="s">
        <v>271</v>
      </c>
      <c r="K3" s="1154" t="s">
        <v>272</v>
      </c>
      <c r="L3" s="1154" t="s">
        <v>273</v>
      </c>
      <c r="M3" s="1154" t="s">
        <v>274</v>
      </c>
      <c r="N3" s="1154" t="s">
        <v>275</v>
      </c>
      <c r="O3" s="1157" t="s">
        <v>276</v>
      </c>
      <c r="P3" s="296"/>
    </row>
    <row r="4" spans="1:16" ht="13.05" customHeight="1" x14ac:dyDescent="0.25">
      <c r="A4" s="1154"/>
      <c r="B4" s="1154"/>
      <c r="C4" s="1154"/>
      <c r="D4" s="1154"/>
      <c r="E4" s="1154"/>
      <c r="F4" s="1154"/>
      <c r="G4" s="1154"/>
      <c r="H4" s="1157"/>
      <c r="I4" s="1157"/>
      <c r="J4" s="1157"/>
      <c r="K4" s="1154"/>
      <c r="L4" s="1154"/>
      <c r="M4" s="1154"/>
      <c r="N4" s="1154"/>
      <c r="O4" s="1157"/>
      <c r="P4" s="296"/>
    </row>
    <row r="5" spans="1:16" s="309" customFormat="1" ht="334.05" customHeight="1" x14ac:dyDescent="0.2">
      <c r="A5" s="297"/>
      <c r="B5" s="298" t="str">
        <f>IF('NACIONAL Y UN PAÍS  EXTRANJERO'!D12="","",'NACIONAL Y UN PAÍS  EXTRANJERO'!D12)</f>
        <v/>
      </c>
      <c r="C5" s="298" t="str">
        <f>IF('NACIONAL Y UN PAÍS  EXTRANJERO'!C13="","",'NACIONAL Y UN PAÍS  EXTRANJERO'!C13)</f>
        <v/>
      </c>
      <c r="D5" s="299" t="str">
        <f>IF('NACIONAL Y UN PAÍS  EXTRANJERO'!C15="","",'NACIONAL Y UN PAÍS  EXTRANJERO'!C15)</f>
        <v/>
      </c>
      <c r="E5" s="299" t="str">
        <f>IF('NACIONAL Y UN PAÍS  EXTRANJERO'!H15="","",'NACIONAL Y UN PAÍS  EXTRANJERO'!H15)</f>
        <v/>
      </c>
      <c r="F5" s="300" t="str">
        <f>IF('NACIONAL Y UN PAÍS  EXTRANJERO'!C14="","",'NACIONAL Y UN PAÍS  EXTRANJERO'!C14)</f>
        <v/>
      </c>
      <c r="G5" s="301" t="str">
        <f>'NACIONAL Y UN PAÍS  EXTRANJERO'!V29</f>
        <v xml:space="preserve">T. Nacional del  al     -T. Extranjero  del   al </v>
      </c>
      <c r="H5" s="302" t="str">
        <f>'NACIONAL Y UN PAÍS  EXTRANJERO'!V61</f>
        <v/>
      </c>
      <c r="I5" s="303" t="str">
        <f>'NACIONAL Y UN PAÍS  EXTRANJERO'!V31</f>
        <v>00-01-00 / 00-01-00</v>
      </c>
      <c r="J5" s="304" t="str">
        <f>'NACIONAL Y UN PAÍS  EXTRANJERO'!V60</f>
        <v/>
      </c>
      <c r="K5" s="303" t="str">
        <f>'NACIONAL Y UN PAÍS  EXTRANJERO'!V11 &amp;" "&amp;'NACIONAL Y UN PAÍS  EXTRANJERO'!V44</f>
        <v xml:space="preserve"> </v>
      </c>
      <c r="L5" s="305" t="str">
        <f>'NACIONAL Y UN PAÍS  EXTRANJERO'!V20 &amp;" " &amp;'NACIONAL Y UN PAÍS  EXTRANJERO'!V68</f>
        <v xml:space="preserve"> </v>
      </c>
      <c r="M5" s="306" t="str">
        <f>'NACIONAL Y UN PAÍS  EXTRANJERO'!V78</f>
        <v>0€ Desglosado en: TOTAL MANUTENCIÓN 0€ TOTAL ALOJAMIENTO 0€ TOTAL LOCOMOCIÓN 0€</v>
      </c>
      <c r="N5" s="307">
        <f>'NACIONAL Y UN PAÍS  EXTRANJERO'!W62</f>
        <v>0</v>
      </c>
      <c r="O5" s="308" t="str">
        <f>'NACIONAL Y UN PAÍS  EXTRANJERO'!C68 &amp;'NACIONAL Y UN PAÍS  EXTRANJERO'!H68</f>
        <v/>
      </c>
    </row>
    <row r="6" spans="1:16" ht="14.4" x14ac:dyDescent="0.25">
      <c r="A6" s="310"/>
      <c r="B6" s="311"/>
      <c r="C6" s="311"/>
      <c r="D6" s="311"/>
      <c r="E6" s="311"/>
      <c r="F6" s="311"/>
      <c r="G6" s="311"/>
      <c r="H6" s="311"/>
      <c r="I6" s="311"/>
      <c r="J6" s="312"/>
      <c r="K6" s="312"/>
      <c r="L6" s="312"/>
      <c r="M6" s="313">
        <v>0</v>
      </c>
      <c r="N6" s="311"/>
      <c r="O6" s="311"/>
      <c r="P6" s="296"/>
    </row>
    <row r="7" spans="1:16" ht="14.4" x14ac:dyDescent="0.25">
      <c r="A7" s="310"/>
      <c r="B7" s="310"/>
      <c r="C7" s="310"/>
      <c r="D7" s="310"/>
      <c r="E7" s="310"/>
      <c r="F7" s="310"/>
      <c r="G7" s="310"/>
      <c r="H7" s="310"/>
      <c r="I7" s="310"/>
      <c r="J7" s="314"/>
      <c r="K7" s="314"/>
      <c r="L7" s="314"/>
      <c r="M7" s="313">
        <v>0</v>
      </c>
      <c r="N7" s="310"/>
      <c r="O7" s="310"/>
      <c r="P7" s="296"/>
    </row>
    <row r="8" spans="1:16" ht="14.4" x14ac:dyDescent="0.25">
      <c r="A8" s="310"/>
      <c r="B8" s="310"/>
      <c r="C8" s="310"/>
      <c r="D8" s="310"/>
      <c r="E8" s="310"/>
      <c r="F8" s="310"/>
      <c r="G8" s="310"/>
      <c r="H8" s="310"/>
      <c r="I8" s="310"/>
      <c r="J8" s="314"/>
      <c r="K8" s="314"/>
      <c r="L8" s="314"/>
      <c r="M8" s="313">
        <v>0</v>
      </c>
      <c r="N8" s="310"/>
      <c r="O8" s="310"/>
      <c r="P8" s="296"/>
    </row>
    <row r="9" spans="1:16" ht="14.4" x14ac:dyDescent="0.25">
      <c r="A9" s="310"/>
      <c r="B9" s="310"/>
      <c r="C9" s="310"/>
      <c r="D9" s="310"/>
      <c r="E9" s="310"/>
      <c r="F9" s="310"/>
      <c r="G9" s="310"/>
      <c r="H9" s="310"/>
      <c r="I9" s="310"/>
      <c r="J9" s="314"/>
      <c r="K9" s="314"/>
      <c r="L9" s="314"/>
      <c r="M9" s="313">
        <v>0</v>
      </c>
      <c r="N9" s="310"/>
      <c r="O9" s="310"/>
      <c r="P9" s="296"/>
    </row>
  </sheetData>
  <mergeCells count="18">
    <mergeCell ref="E3:E4"/>
    <mergeCell ref="M3:M4"/>
    <mergeCell ref="N3:N4"/>
    <mergeCell ref="E2:H2"/>
    <mergeCell ref="O3:O4"/>
    <mergeCell ref="J2:N2"/>
    <mergeCell ref="F3:F4"/>
    <mergeCell ref="G3:G4"/>
    <mergeCell ref="H3:H4"/>
    <mergeCell ref="I3:I4"/>
    <mergeCell ref="J3:J4"/>
    <mergeCell ref="K3:K4"/>
    <mergeCell ref="L3:L4"/>
    <mergeCell ref="B2:D2"/>
    <mergeCell ref="A3:A4"/>
    <mergeCell ref="B3:B4"/>
    <mergeCell ref="C3:C4"/>
    <mergeCell ref="D3:D4"/>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7030A0"/>
  </sheetPr>
  <dimension ref="A1:CY161"/>
  <sheetViews>
    <sheetView showGridLines="0" showWhiteSpace="0" topLeftCell="B13" zoomScaleNormal="100" workbookViewId="0">
      <selection activeCell="F74" sqref="F74"/>
    </sheetView>
  </sheetViews>
  <sheetFormatPr baseColWidth="10" defaultColWidth="11.44140625" defaultRowHeight="13.2" x14ac:dyDescent="0.25"/>
  <cols>
    <col min="1" max="1" width="0.88671875" style="7" hidden="1" customWidth="1"/>
    <col min="2" max="2" width="38.88671875" style="7" customWidth="1"/>
    <col min="3" max="3" width="13.33203125" style="7" customWidth="1"/>
    <col min="4" max="4" width="12.44140625" style="7" customWidth="1"/>
    <col min="5" max="5" width="13.109375" style="7" customWidth="1"/>
    <col min="6" max="6" width="16.5546875" style="7" customWidth="1"/>
    <col min="7" max="7" width="16.88671875" style="7" customWidth="1"/>
    <col min="8" max="8" width="23.5546875" style="7" customWidth="1"/>
    <col min="9" max="9" width="15.44140625" style="7" customWidth="1"/>
    <col min="10" max="10" width="7.44140625" style="293" customWidth="1"/>
    <col min="11" max="11" width="14.33203125" style="290" hidden="1" customWidth="1"/>
    <col min="12" max="12" width="14.109375" style="290" hidden="1" customWidth="1"/>
    <col min="13" max="13" width="11.5546875" style="290" hidden="1" customWidth="1"/>
    <col min="14" max="14" width="9.33203125" style="290" hidden="1" customWidth="1"/>
    <col min="15" max="15" width="9.109375" style="290" hidden="1" customWidth="1"/>
    <col min="16" max="16" width="9.5546875" style="290" hidden="1" customWidth="1"/>
    <col min="17" max="17" width="7.33203125" style="290" hidden="1" customWidth="1"/>
    <col min="18" max="18" width="11.33203125" style="290" hidden="1" customWidth="1"/>
    <col min="19" max="19" width="10" style="290" hidden="1" customWidth="1"/>
    <col min="20" max="20" width="9.5546875" style="290" hidden="1" customWidth="1"/>
    <col min="21" max="21" width="9.109375" style="290" hidden="1" customWidth="1"/>
    <col min="22" max="22" width="11.5546875" style="290" hidden="1" customWidth="1"/>
    <col min="23" max="23" width="30.44140625" style="290" hidden="1" customWidth="1"/>
    <col min="24" max="24" width="10.88671875" style="276" hidden="1" customWidth="1"/>
    <col min="25" max="25" width="11.44140625" style="276" hidden="1" customWidth="1"/>
    <col min="26" max="26" width="10.5546875" style="276" hidden="1" customWidth="1"/>
    <col min="27" max="29" width="11.44140625" style="276" hidden="1" customWidth="1"/>
    <col min="30" max="30" width="14" style="276" hidden="1" customWidth="1"/>
    <col min="31" max="47" width="11.44140625" style="290" hidden="1" customWidth="1"/>
    <col min="48" max="53" width="11.44140625" style="293" hidden="1" customWidth="1"/>
    <col min="54" max="56" width="11.44140625" style="293" customWidth="1"/>
    <col min="57" max="82" width="11.44140625" style="226" customWidth="1"/>
    <col min="83" max="94" width="11.44140625" style="7" customWidth="1"/>
    <col min="95" max="95" width="38.88671875" style="19" customWidth="1"/>
    <col min="96" max="96" width="13.33203125" style="19" customWidth="1"/>
    <col min="97" max="97" width="12.44140625" style="19" customWidth="1"/>
    <col min="98" max="98" width="13.109375" style="19" customWidth="1"/>
    <col min="99" max="99" width="16.5546875" style="19" customWidth="1"/>
    <col min="100" max="100" width="16.88671875" style="19" customWidth="1"/>
    <col min="101" max="101" width="23.5546875" style="19" customWidth="1"/>
    <col min="102" max="102" width="15.44140625" style="19" customWidth="1"/>
    <col min="103" max="103" width="11.44140625" style="435"/>
    <col min="104" max="16384" width="11.44140625" style="7"/>
  </cols>
  <sheetData>
    <row r="1" spans="1:103" x14ac:dyDescent="0.25">
      <c r="C1" s="292" t="str">
        <f>IF(D90&lt;&gt;"","",IF(E91&lt;&gt;D9,"","Nº"))</f>
        <v/>
      </c>
      <c r="D1" s="16" t="str">
        <f>IF(D90&lt;&gt;"","LIQUIDACIÓN NO CUMPLIMENTADA CORRECTAMENTE",IF(E91&lt;&gt;D9,"LIQUIDACIÓN NO CUMPLIMENTADA CORRECTAMENTE",AL5))</f>
        <v>LIQUIDACIÓN NO CUMPLIMENTADA CORRECTAMENTE</v>
      </c>
      <c r="E1" s="16"/>
      <c r="F1" s="16"/>
      <c r="G1" s="16"/>
      <c r="H1" s="142"/>
      <c r="I1" s="132"/>
      <c r="J1" s="275"/>
      <c r="K1" s="276" t="s">
        <v>154</v>
      </c>
      <c r="L1" s="276"/>
      <c r="M1" s="1058" t="s">
        <v>125</v>
      </c>
      <c r="N1" s="1058"/>
      <c r="O1" s="1058"/>
      <c r="P1" s="1058" t="s">
        <v>121</v>
      </c>
      <c r="Q1" s="1058"/>
      <c r="R1" s="1058"/>
      <c r="S1" s="1058"/>
      <c r="T1" s="1058"/>
      <c r="U1" s="276"/>
      <c r="V1" s="276"/>
      <c r="W1" s="276"/>
      <c r="CR1" s="292"/>
      <c r="CS1" s="16"/>
      <c r="CT1" s="16"/>
      <c r="CU1" s="16"/>
      <c r="CV1" s="16"/>
      <c r="CW1" s="439"/>
    </row>
    <row r="2" spans="1:103" x14ac:dyDescent="0.25">
      <c r="C2" s="1279" t="str">
        <f>IF(B8=K2,M2,IF(B8=K3,M1,IF(B8=K4,M1,"")))</f>
        <v/>
      </c>
      <c r="D2" s="1279"/>
      <c r="E2" s="1279"/>
      <c r="F2" s="1279"/>
      <c r="G2" s="1279"/>
      <c r="H2" s="1279"/>
      <c r="I2" s="132"/>
      <c r="J2" s="275"/>
      <c r="K2" s="276" t="s">
        <v>180</v>
      </c>
      <c r="L2" s="276"/>
      <c r="M2" s="1058" t="s">
        <v>183</v>
      </c>
      <c r="N2" s="1058"/>
      <c r="O2" s="1058"/>
      <c r="P2" s="1058" t="s">
        <v>184</v>
      </c>
      <c r="Q2" s="1058"/>
      <c r="R2" s="1058"/>
      <c r="S2" s="1058"/>
      <c r="T2" s="1058"/>
      <c r="U2" s="276"/>
      <c r="V2" s="276"/>
      <c r="W2" s="276" t="s">
        <v>302</v>
      </c>
      <c r="X2" s="320" t="str">
        <f>IF(D13="","",D13)</f>
        <v/>
      </c>
      <c r="Y2" s="320" t="str">
        <f>IF(F13="","",F13)</f>
        <v/>
      </c>
      <c r="Z2" s="276" t="str">
        <f>TEXT(X2,"dd-mm-aa")&amp;" al  "&amp;TEXT(Y2,"dd-mm-aa")</f>
        <v xml:space="preserve"> al  </v>
      </c>
      <c r="AL2" s="290" t="s">
        <v>340</v>
      </c>
      <c r="CR2" s="1036" t="str">
        <f>IF($B$94&lt;&gt;"","",C2)</f>
        <v/>
      </c>
      <c r="CS2" s="1036"/>
      <c r="CT2" s="1036"/>
      <c r="CU2" s="1036"/>
      <c r="CV2" s="1036"/>
      <c r="CW2" s="1036"/>
    </row>
    <row r="3" spans="1:103" x14ac:dyDescent="0.25">
      <c r="C3" s="1060" t="str">
        <f>IF(B19=K2,P2,IF(B19=K3,P1,IF(B19=K4,P1,"")))</f>
        <v/>
      </c>
      <c r="D3" s="1060"/>
      <c r="E3" s="1060"/>
      <c r="F3" s="1060"/>
      <c r="G3" s="1060"/>
      <c r="H3" s="1060"/>
      <c r="I3" s="132"/>
      <c r="J3" s="275"/>
      <c r="K3" s="276" t="s">
        <v>181</v>
      </c>
      <c r="L3" s="276"/>
      <c r="M3" s="276"/>
      <c r="N3" s="276"/>
      <c r="O3" s="276"/>
      <c r="P3" s="276"/>
      <c r="Q3" s="276"/>
      <c r="R3" s="276"/>
      <c r="S3" s="276"/>
      <c r="T3" s="276"/>
      <c r="U3" s="276"/>
      <c r="V3" s="276"/>
      <c r="W3" s="276" t="s">
        <v>298</v>
      </c>
      <c r="X3" s="1058" t="str">
        <f>W4&amp; " "&amp;TEXT(Y6,"dd-mm-aa")&amp;" al  "&amp;TEXT(Z6,"dd-mm-aa")&amp;"   -T. Extranjero  del   "&amp;TEXT(X26,"dd-mm-aa")&amp;" al "&amp;TEXT(Y26,"dd-mm-aa") &amp;" "&amp;W26 &amp;"    del   "&amp;TEXT(X46,"dd-mm-aa")&amp;" al "&amp;TEXT(Y46,"dd-mm-aa") &amp;" "&amp;W46 &amp;"    del   "&amp;TEXT(X66,"dd-mm-aa")&amp;" al "&amp;TEXT(Y66,"dd-mm-aa") &amp;" "&amp;W66</f>
        <v xml:space="preserve">T. Nacional: del  al     -T. Extranjero  del    al      del    al      del    al  </v>
      </c>
      <c r="Y3" s="1058"/>
      <c r="Z3" s="1058"/>
      <c r="AA3" s="1058"/>
      <c r="AB3" s="1058"/>
      <c r="AC3" s="1058"/>
      <c r="AD3" s="1058"/>
      <c r="AE3" s="1058"/>
      <c r="AF3" s="1058"/>
      <c r="AG3" s="1058"/>
      <c r="AH3" s="1058"/>
      <c r="AI3" s="1058"/>
      <c r="AJ3" s="1058"/>
      <c r="AK3" s="1058"/>
      <c r="AL3" s="290">
        <f>H9</f>
        <v>0</v>
      </c>
      <c r="CR3" s="1034"/>
      <c r="CS3" s="1034"/>
      <c r="CT3" s="1034"/>
      <c r="CU3" s="1034"/>
      <c r="CV3" s="1034"/>
      <c r="CW3" s="1034"/>
    </row>
    <row r="4" spans="1:103" x14ac:dyDescent="0.25">
      <c r="C4" s="1034" t="str">
        <f>IF(D90&lt;&gt;"","",IF(E91&lt;&gt;D9,"","Esta Liquidación deberá justificar TODOS los gastos relacionados con el viaje y adjuntar la Comisión de Servicio Original."))</f>
        <v/>
      </c>
      <c r="D4" s="1034"/>
      <c r="E4" s="1034"/>
      <c r="F4" s="1034"/>
      <c r="G4" s="1034"/>
      <c r="H4" s="1034"/>
      <c r="I4" s="1034"/>
      <c r="J4" s="275"/>
      <c r="K4" s="276" t="s">
        <v>182</v>
      </c>
      <c r="L4" s="276"/>
      <c r="M4" s="1046" t="s">
        <v>185</v>
      </c>
      <c r="N4" s="1046"/>
      <c r="O4" s="1046"/>
      <c r="P4" s="1046" t="s">
        <v>189</v>
      </c>
      <c r="Q4" s="1046"/>
      <c r="R4" s="1046"/>
      <c r="S4" s="315" t="s">
        <v>104</v>
      </c>
      <c r="T4" s="276"/>
      <c r="U4" s="276"/>
      <c r="V4" s="276"/>
      <c r="W4" s="276" t="s">
        <v>299</v>
      </c>
      <c r="AL4" s="290" t="str">
        <f>IF(C15&lt;&gt;"",C15,IF(C30&lt;&gt;"",C30,IF(C41&lt;&gt;"",C41,IF(C52&lt;&gt;"",C52,""))))</f>
        <v/>
      </c>
      <c r="CR4" s="1034" t="str">
        <f>IF($B$94&lt;&gt;"","",C4)</f>
        <v/>
      </c>
      <c r="CS4" s="1034"/>
      <c r="CT4" s="1034"/>
      <c r="CU4" s="1034"/>
      <c r="CV4" s="1034"/>
      <c r="CW4" s="1034"/>
      <c r="CX4" s="1034"/>
    </row>
    <row r="5" spans="1:103" ht="13.8" x14ac:dyDescent="0.25">
      <c r="C5" s="273"/>
      <c r="D5" s="273"/>
      <c r="E5" s="273"/>
      <c r="F5" s="273"/>
      <c r="G5" s="273"/>
      <c r="H5" s="1124"/>
      <c r="I5" s="1124"/>
      <c r="J5" s="275"/>
      <c r="K5" s="699">
        <v>0</v>
      </c>
      <c r="L5" s="276"/>
      <c r="M5" s="1046" t="s">
        <v>186</v>
      </c>
      <c r="N5" s="1046"/>
      <c r="O5" s="279">
        <v>37.4</v>
      </c>
      <c r="P5" s="1046" t="s">
        <v>190</v>
      </c>
      <c r="Q5" s="1046"/>
      <c r="R5" s="279">
        <v>40.82</v>
      </c>
      <c r="S5" s="279">
        <v>41.78</v>
      </c>
      <c r="T5" s="276"/>
      <c r="U5" s="276"/>
      <c r="V5" s="276"/>
      <c r="W5" s="276"/>
      <c r="Y5" s="315" t="s">
        <v>296</v>
      </c>
      <c r="Z5" s="315" t="s">
        <v>297</v>
      </c>
      <c r="AL5" s="290" t="str">
        <f>AL4&amp;AL3</f>
        <v>0</v>
      </c>
      <c r="AQ5" s="1337" t="s">
        <v>389</v>
      </c>
      <c r="AR5" s="1337"/>
      <c r="AS5" s="1337"/>
      <c r="AT5" s="1337"/>
      <c r="AU5" s="1337"/>
      <c r="AV5" s="1337"/>
      <c r="AW5" s="1337"/>
      <c r="AX5" s="1337"/>
      <c r="CR5" s="273"/>
      <c r="CS5" s="273"/>
      <c r="CT5" s="273"/>
      <c r="CU5" s="273"/>
      <c r="CV5" s="273"/>
      <c r="CW5" s="1236"/>
      <c r="CX5" s="1237"/>
    </row>
    <row r="6" spans="1:103" x14ac:dyDescent="0.25">
      <c r="C6" s="1034" t="str">
        <f>IF(D90&lt;&gt;"","Para cumplimentar correctamente la liquidación, antes de imprimir atienda ","")</f>
        <v xml:space="preserve">Para cumplimentar correctamente la liquidación, antes de imprimir atienda </v>
      </c>
      <c r="D6" s="1034"/>
      <c r="E6" s="1034"/>
      <c r="F6" s="1034"/>
      <c r="G6" s="1034"/>
      <c r="H6" s="1034"/>
      <c r="I6" s="1034"/>
      <c r="J6" s="275"/>
      <c r="K6" s="1046" t="s">
        <v>191</v>
      </c>
      <c r="L6" s="1046"/>
      <c r="M6" s="1046" t="s">
        <v>187</v>
      </c>
      <c r="N6" s="1046"/>
      <c r="O6" s="279">
        <v>18.7</v>
      </c>
      <c r="P6" s="1046" t="s">
        <v>103</v>
      </c>
      <c r="Q6" s="1046"/>
      <c r="R6" s="279">
        <v>26.67</v>
      </c>
      <c r="S6" s="279">
        <v>26.67</v>
      </c>
      <c r="T6" s="276"/>
      <c r="U6" s="276"/>
      <c r="V6" s="276"/>
      <c r="W6" s="276" t="s">
        <v>291</v>
      </c>
      <c r="X6" s="285">
        <f>SUM(G20:G22)</f>
        <v>0</v>
      </c>
      <c r="Y6" s="358" t="str">
        <f>IF(C15="","",C15)</f>
        <v/>
      </c>
      <c r="Z6" s="358" t="str">
        <f>IF(C17="","",C17)</f>
        <v/>
      </c>
      <c r="AB6" s="372" t="s">
        <v>350</v>
      </c>
      <c r="AC6" s="372" t="s">
        <v>349</v>
      </c>
      <c r="AD6" s="276" t="s">
        <v>386</v>
      </c>
      <c r="AE6" s="276"/>
      <c r="AG6" s="537" t="s">
        <v>383</v>
      </c>
      <c r="AQ6" s="1338" t="s">
        <v>401</v>
      </c>
      <c r="AR6" s="1338"/>
      <c r="AS6" s="1338"/>
      <c r="AT6" s="558"/>
      <c r="AU6" s="566" t="s">
        <v>387</v>
      </c>
      <c r="AV6" s="567"/>
      <c r="AW6" s="568"/>
      <c r="AX6" s="569"/>
      <c r="CR6" s="1037" t="str">
        <f>IF($B$94&lt;&gt;"","LIQUIDACIÓN NO VÁLIDA PARA SU PRESENTACIÓN, FALTA CUMPLIMENTAR ALGUNOS DATOS.","")</f>
        <v>LIQUIDACIÓN NO VÁLIDA PARA SU PRESENTACIÓN, FALTA CUMPLIMENTAR ALGUNOS DATOS.</v>
      </c>
      <c r="CS6" s="1037"/>
      <c r="CT6" s="1037"/>
      <c r="CU6" s="1037"/>
      <c r="CV6" s="1037"/>
      <c r="CW6" s="1037"/>
      <c r="CX6" s="1037"/>
    </row>
    <row r="7" spans="1:103" x14ac:dyDescent="0.25">
      <c r="B7" s="31" t="s">
        <v>120</v>
      </c>
      <c r="C7" s="1034" t="str">
        <f>IF(D90&lt;&gt;"","a los mensajes que van apareciendo y siga las instrucciones. ","")</f>
        <v xml:space="preserve">a los mensajes que van apareciendo y siga las instrucciones. </v>
      </c>
      <c r="D7" s="1034"/>
      <c r="E7" s="1034"/>
      <c r="F7" s="1034"/>
      <c r="G7" s="1034"/>
      <c r="H7" s="1034"/>
      <c r="I7" s="1034"/>
      <c r="J7" s="275"/>
      <c r="K7" s="315" t="s">
        <v>192</v>
      </c>
      <c r="L7" s="276" t="s">
        <v>193</v>
      </c>
      <c r="M7" s="1046" t="s">
        <v>188</v>
      </c>
      <c r="N7" s="1046"/>
      <c r="O7" s="279">
        <v>65.97</v>
      </c>
      <c r="P7" s="1046" t="s">
        <v>187</v>
      </c>
      <c r="Q7" s="1046"/>
      <c r="R7" s="279">
        <v>20.41</v>
      </c>
      <c r="S7" s="279">
        <v>20.89</v>
      </c>
      <c r="T7" s="276"/>
      <c r="U7" s="276"/>
      <c r="V7" s="276" t="s">
        <v>152</v>
      </c>
      <c r="W7" s="324" t="str">
        <f>B20</f>
        <v>Alojamiento (según decreto)</v>
      </c>
      <c r="X7" s="370">
        <f>C20</f>
        <v>0</v>
      </c>
      <c r="Y7" s="324" t="str">
        <f>D20</f>
        <v>noche</v>
      </c>
      <c r="Z7" s="324" t="s">
        <v>259</v>
      </c>
      <c r="AA7" s="323" t="str">
        <f>E20</f>
        <v/>
      </c>
      <c r="AB7" s="371" t="str">
        <f>F20</f>
        <v>€/noche</v>
      </c>
      <c r="AC7" s="371" t="str">
        <f>G20</f>
        <v/>
      </c>
      <c r="AD7" s="347" t="str">
        <f>IF(AC7&lt;&gt;0, X7 &amp;" " &amp; Y7 &amp;" " &amp; Z7 &amp; " "&amp; AA7  &amp; " "&amp; $AB$6  &amp; " "&amp; AC7&amp;AC6,"")</f>
        <v>0 noche a  €/N €;</v>
      </c>
      <c r="AE7" s="347"/>
      <c r="AF7" s="276"/>
      <c r="AG7" s="537" t="s">
        <v>382</v>
      </c>
      <c r="AH7" s="539" t="s">
        <v>350</v>
      </c>
      <c r="AI7" s="1199" t="s">
        <v>384</v>
      </c>
      <c r="AJ7" s="1199"/>
      <c r="AK7" s="426" t="s">
        <v>378</v>
      </c>
      <c r="AL7" s="426" t="s">
        <v>378</v>
      </c>
      <c r="AM7" s="426" t="s">
        <v>379</v>
      </c>
      <c r="AN7" s="545">
        <v>0.21</v>
      </c>
      <c r="AO7" s="426" t="s">
        <v>380</v>
      </c>
      <c r="AQ7" s="645" t="str">
        <f>AD6&amp;" "&amp;AD7</f>
        <v>ESPAÑA 0 noche a  €/N €;</v>
      </c>
      <c r="AR7" s="555"/>
      <c r="AS7" s="555"/>
      <c r="AT7" s="560"/>
      <c r="AU7" s="559"/>
      <c r="AV7" s="555"/>
      <c r="AW7" s="290"/>
      <c r="AX7" s="570"/>
      <c r="CQ7" s="31" t="str">
        <f t="shared" ref="CQ7:CQ15" si="0">IF($B$94&lt;&gt;"","",B7)</f>
        <v/>
      </c>
      <c r="CR7" s="1037"/>
      <c r="CS7" s="1037"/>
      <c r="CT7" s="1037"/>
      <c r="CU7" s="1037"/>
      <c r="CV7" s="1037"/>
      <c r="CW7" s="1037"/>
      <c r="CX7" s="1037"/>
    </row>
    <row r="8" spans="1:103" ht="13.8" x14ac:dyDescent="0.25">
      <c r="B8" s="203" t="s">
        <v>154</v>
      </c>
      <c r="C8" s="1034" t="str">
        <f>IF(B8=K1,K15,IF(D9="","ESCRIBA SU NOMBRE Y APELLIDOS",IF(H9="","FALTA INDICAR EL D.N.I.",IF(C10="","FALTA CUMPLIMENTAR LA VINCULACIÓN CON EL PROYECTO",IF(G10="","FALTA INDICAR CUERPO O ESCALA",IF(C11="","FALTA CUMPLIMENTAR EL MOTIVO DEL VIAJE",IF(C12="","FALTA CUMPLIMENTAR EL ITINERARIO",IF(H12="","FALTA CUMPLIMENTAR EL LUGAR DE DESTINO",IF(D13="","FALTA INDICAR LA FECHA DE INICIO DE LA ACTIVIDAD",IF(F13="","FALTA INDICAR LA FECHA DE FIN DE LA ACTIVIDAD",IF(OR(B15="Falta indicar la hora",B17="Falta indicar la hora"),"FALTA INDICAR LA HORA",IF(AND(L18&lt;&gt;0,C15=""),"FALTA INDICAR LA FECHA DESDE",IF(AND(L18&lt;&gt;0,C17=""),"FALTA INDICAR LA FECHA DESDE",IF(OR(H21="Falta indicar las noches",H22="Falta indicar las noches"),"FALTA INDICAR LAS NOCHES",IF(H25="Falta indicar los días","FALTA INDICAR LOS DÍAS",IF(AND(Z25&gt;0,C30=""),"FALTA INDICAR LA FECHA DESDE",IF(AND(Z25&gt;0,C32=""),"FALTA INDICAR LA FECHA DESDE",IF(OR(F30="Falta indicar la hora",F32="Falta indicar la hora"),"FALTA INDICAR LA HORA",IF(OR(H35="Falta indicar las noches",H36="Falta indicar las noches"),"FALTA INDICAR LAS NOCHES",IF(H39="Falta indicar los días","FALTA INDICAR LOS DÍAS",IF(AND(C41="",Z46&gt;0),"FALTA INDICAR LA FECHA DESDE",IF(AND(Z46&gt;0,C43=""),"FALTA INDICAR LA FECHA DESDE",IF(OR(F41="Falta indicar la hora",F43="Falta indicar la hora"),"FALTA INDICAR LA HORA",IF(OR(H46="Falta indicar las noches",H47="Falta indicar las noches"),"FALTA INDICAR LAS NOCHES",IF(H50="Falta indicar los días","FALTA INDICAR LOS DÍAS",IF(AND(Z66&gt;0,C52=""),"FALTA INDICAR LA FECHA DESDE",IF(AND(C54="",Z66&gt;0),"FALTA INDICAR LA FECHA DESDE",IF(OR(F52="Falta indicar la hora",F54="Falta indicar la hora"),"FALTA INDICAR LA HORA",IF(OR(H57="Falta indicar las noches",H58="Falta indicar las noches"),"FALTA INDICAR LAS NOCHES",IF(H61="Falta indicar los días","FALTA INDICAR LOS DÍAS",IF(D72="LIQUIDACIÓN NO VÁLIDA, INDIQUE LA MATRICULA","INDIQUE LA MATRÍCULA",IF(C72="ELIJA LA OPCIÓN DEL TRANSPORTE","FALTA INDICAR EL MEDIO DE TRANSPORTE",IF(D73="","FALTA INDICAR LA FECHA DE INICIO DE LA ACTIVIDAD",IF(F73="","FALTA INDICAR LA FECHA DE FIN DE LA ACTIVIDAD","LIQUIDACIÓN DE DIETAS Y GASTOS DE LOCOMOCIÓN"))))))))))))))))))))))))))))))))))</f>
        <v>ANTES DE COMENZAR DEBE ELEGIR UNA OPCIÓN, MINISTERIO O JUNTA</v>
      </c>
      <c r="D8" s="1034"/>
      <c r="E8" s="1034"/>
      <c r="F8" s="1034"/>
      <c r="G8" s="1034"/>
      <c r="H8" s="1034"/>
      <c r="I8" s="1034"/>
      <c r="J8" s="275"/>
      <c r="K8" s="280">
        <v>36526</v>
      </c>
      <c r="L8" s="281">
        <v>4.1666666666666664E-2</v>
      </c>
      <c r="M8" s="1046" t="s">
        <v>194</v>
      </c>
      <c r="N8" s="1046"/>
      <c r="O8" s="276"/>
      <c r="P8" s="1046" t="s">
        <v>188</v>
      </c>
      <c r="Q8" s="1046"/>
      <c r="R8" s="279">
        <v>64.27</v>
      </c>
      <c r="S8" s="279">
        <v>96.41</v>
      </c>
      <c r="T8" s="276"/>
      <c r="U8" s="276"/>
      <c r="V8" s="367" t="e">
        <f>X8*AA7</f>
        <v>#VALUE!</v>
      </c>
      <c r="W8" s="324" t="str">
        <f t="shared" ref="W8:W9" si="1">B21</f>
        <v>Alojamiento (según factura)</v>
      </c>
      <c r="X8" s="370">
        <f t="shared" ref="X8:X9" si="2">C21</f>
        <v>0</v>
      </c>
      <c r="Y8" s="324" t="str">
        <f t="shared" ref="Y8:Y9" si="3">D21</f>
        <v>noche</v>
      </c>
      <c r="Z8" s="324" t="s">
        <v>259</v>
      </c>
      <c r="AA8" s="323">
        <f t="shared" ref="AA8:AA9" si="4">E21</f>
        <v>0</v>
      </c>
      <c r="AB8" s="371" t="str">
        <f t="shared" ref="AB8:AB9" si="5">F21</f>
        <v>€/noche</v>
      </c>
      <c r="AC8" s="371">
        <f t="shared" ref="AC8:AC9" si="6">G21</f>
        <v>0</v>
      </c>
      <c r="AD8" s="347" t="str">
        <f>IF(AC8&lt;&gt;0, X8 &amp;" " &amp; Y8 &amp;" " &amp; Z8 &amp; " "&amp;AH8  &amp; " "&amp; $AB$6  &amp; " "&amp; AG8&amp;AC6,"")</f>
        <v/>
      </c>
      <c r="AE8" s="347"/>
      <c r="AF8" s="276"/>
      <c r="AG8" s="540" t="e">
        <f>IF(AC8&gt;V8,V8,AC8)</f>
        <v>#VALUE!</v>
      </c>
      <c r="AH8" s="544" t="e">
        <f>IF(AG8=0,"",AG8/X8)</f>
        <v>#VALUE!</v>
      </c>
      <c r="AI8" s="537" t="s">
        <v>392</v>
      </c>
      <c r="AJ8" s="537" t="s">
        <v>350</v>
      </c>
      <c r="AK8" s="546">
        <v>0.1</v>
      </c>
      <c r="AL8" s="547">
        <v>0.1</v>
      </c>
      <c r="AM8" s="536"/>
      <c r="AN8" s="536"/>
      <c r="AO8" s="536"/>
      <c r="AQ8" s="561" t="str">
        <f>AD28</f>
        <v xml:space="preserve">  0 noche a €/N €;</v>
      </c>
      <c r="AR8" s="557"/>
      <c r="AS8" s="555"/>
      <c r="AT8" s="560"/>
      <c r="AU8" s="561" t="s">
        <v>351</v>
      </c>
      <c r="AV8" s="644"/>
      <c r="AW8" s="290"/>
      <c r="AX8" s="570"/>
      <c r="CQ8" s="687" t="str">
        <f t="shared" si="0"/>
        <v/>
      </c>
      <c r="CR8" s="1037" t="str">
        <f>IF(OR(B82&lt;&gt;"",D90&lt;&gt;"",E91&lt;&gt;D9),"",C8)</f>
        <v/>
      </c>
      <c r="CS8" s="1037"/>
      <c r="CT8" s="1037"/>
      <c r="CU8" s="1037"/>
      <c r="CV8" s="1037"/>
      <c r="CW8" s="1037"/>
      <c r="CX8" s="1037"/>
    </row>
    <row r="9" spans="1:103" ht="13.8" x14ac:dyDescent="0.25">
      <c r="B9" s="1233" t="str">
        <f>IF(B8=K1,K11,"Nombre y Apellidos del titular de la liquidación:")</f>
        <v>1º Elija la Opción</v>
      </c>
      <c r="C9" s="1233"/>
      <c r="D9" s="1287"/>
      <c r="E9" s="1288"/>
      <c r="F9" s="1288"/>
      <c r="G9" s="55" t="s">
        <v>198</v>
      </c>
      <c r="H9" s="112"/>
      <c r="I9" s="132"/>
      <c r="J9" s="275"/>
      <c r="K9" s="280">
        <v>73050</v>
      </c>
      <c r="L9" s="281">
        <v>1.0409722222222222</v>
      </c>
      <c r="M9" s="282">
        <v>0.58333333333333337</v>
      </c>
      <c r="N9" s="282">
        <v>0.20833333333333334</v>
      </c>
      <c r="O9" s="276"/>
      <c r="P9" s="315" t="s">
        <v>194</v>
      </c>
      <c r="Q9" s="276" t="s">
        <v>207</v>
      </c>
      <c r="R9" s="276" t="s">
        <v>208</v>
      </c>
      <c r="S9" s="279">
        <v>20.89</v>
      </c>
      <c r="T9" s="276"/>
      <c r="U9" s="276"/>
      <c r="V9" s="367" t="e">
        <f>X9*AA7</f>
        <v>#VALUE!</v>
      </c>
      <c r="W9" s="324" t="str">
        <f t="shared" si="1"/>
        <v>Alojamiento Pagos a Terceros</v>
      </c>
      <c r="X9" s="370">
        <f t="shared" si="2"/>
        <v>0</v>
      </c>
      <c r="Y9" s="324" t="str">
        <f t="shared" si="3"/>
        <v>noche</v>
      </c>
      <c r="Z9" s="324" t="s">
        <v>259</v>
      </c>
      <c r="AA9" s="323">
        <f t="shared" si="4"/>
        <v>0</v>
      </c>
      <c r="AB9" s="371" t="str">
        <f t="shared" si="5"/>
        <v>€/noche</v>
      </c>
      <c r="AC9" s="371">
        <f t="shared" si="6"/>
        <v>0</v>
      </c>
      <c r="AD9" s="347" t="str">
        <f>IF(AC9&lt;&gt;0,W9 &amp; " " &amp; X9 &amp;" " &amp; Y9 &amp;" " &amp; Z9 &amp; " "&amp; AA9  &amp; " "&amp; AB6 &amp; " "&amp; AC9&amp;AC6,"")</f>
        <v/>
      </c>
      <c r="AE9" s="347"/>
      <c r="AF9" s="276"/>
      <c r="AG9" s="540" t="e">
        <f>IF(AC9&gt;V9,V9,AC9)</f>
        <v>#VALUE!</v>
      </c>
      <c r="AH9" s="544" t="e">
        <f>IF(AG9=0,"",AG9/X9)</f>
        <v>#VALUE!</v>
      </c>
      <c r="AI9" s="548" t="e">
        <f>AM9*AK8*AN7+AM9</f>
        <v>#VALUE!</v>
      </c>
      <c r="AJ9" s="548" t="e">
        <f>IF(AI9=0,"",AI9/X8)</f>
        <v>#VALUE!</v>
      </c>
      <c r="AK9" s="537"/>
      <c r="AL9" s="536"/>
      <c r="AM9" s="399" t="e">
        <f>AO9/(1+AL8)</f>
        <v>#VALUE!</v>
      </c>
      <c r="AN9" s="536"/>
      <c r="AO9" s="399" t="e">
        <f>AG8</f>
        <v>#VALUE!</v>
      </c>
      <c r="AQ9" s="561" t="str">
        <f>AD48</f>
        <v xml:space="preserve">  0 noche a €/N €;</v>
      </c>
      <c r="AR9" s="557"/>
      <c r="AS9" s="555"/>
      <c r="AT9" s="560"/>
      <c r="AU9" s="561" t="s">
        <v>386</v>
      </c>
      <c r="AV9" s="557" t="str">
        <f>IF(X6&gt;0,AD6&amp;"  "&amp;AD8,"")</f>
        <v/>
      </c>
      <c r="AW9" s="290"/>
      <c r="AX9" s="570"/>
      <c r="CQ9" s="1233" t="str">
        <f t="shared" si="0"/>
        <v/>
      </c>
      <c r="CR9" s="1233"/>
      <c r="CS9" s="1238" t="str">
        <f>IF($B$94&lt;&gt;"","",D9)</f>
        <v/>
      </c>
      <c r="CT9" s="1238"/>
      <c r="CU9" s="1238"/>
      <c r="CV9" s="55"/>
      <c r="CW9" s="449" t="str">
        <f>IF($B$94&lt;&gt;"","",H9)</f>
        <v/>
      </c>
    </row>
    <row r="10" spans="1:103" ht="13.8" x14ac:dyDescent="0.25">
      <c r="B10" s="44" t="s">
        <v>214</v>
      </c>
      <c r="C10" s="1269"/>
      <c r="D10" s="1269"/>
      <c r="E10" s="1269"/>
      <c r="F10" s="61" t="s">
        <v>142</v>
      </c>
      <c r="G10" s="1269"/>
      <c r="H10" s="1269"/>
      <c r="I10" s="132"/>
      <c r="J10" s="275"/>
      <c r="K10" s="276"/>
      <c r="L10" s="276"/>
      <c r="M10" s="282">
        <v>0.66666666666666663</v>
      </c>
      <c r="N10" s="315" t="s">
        <v>195</v>
      </c>
      <c r="O10" s="276"/>
      <c r="P10" s="282">
        <v>0.58333333333333337</v>
      </c>
      <c r="Q10" s="276" t="s">
        <v>211</v>
      </c>
      <c r="R10" s="276"/>
      <c r="S10" s="279">
        <v>26.67</v>
      </c>
      <c r="T10" s="276"/>
      <c r="U10" s="276"/>
      <c r="V10" s="276"/>
      <c r="W10" s="1058" t="str">
        <f>IF(AC7&lt;&gt;0,W7 &amp; " " &amp; X7 &amp;" " &amp; Y7 &amp;" " &amp; Z7 &amp; " "&amp; AA7  &amp; " "&amp; AB7  &amp; " "&amp; AC7,"")</f>
        <v xml:space="preserve">Alojamiento (según decreto) 0 noche a  €/noche </v>
      </c>
      <c r="X10" s="1058"/>
      <c r="Y10" s="1058"/>
      <c r="Z10" s="1058"/>
      <c r="AA10" s="1058"/>
      <c r="AB10" s="1058"/>
      <c r="AC10" s="1058"/>
      <c r="AD10" s="372" t="str">
        <f>IF(X6&gt;0,AD6&amp;" "&amp;AD7&amp;" "&amp;AD8,"")</f>
        <v/>
      </c>
      <c r="AE10" s="276"/>
      <c r="AF10" s="276"/>
      <c r="AG10" s="539"/>
      <c r="AH10" s="539"/>
      <c r="AI10" s="548" t="e">
        <f>AM10*AK8*AN7+AM10</f>
        <v>#VALUE!</v>
      </c>
      <c r="AJ10" s="549" t="e">
        <f>IF(AI10=0,"",AI10/X9)</f>
        <v>#VALUE!</v>
      </c>
      <c r="AK10" s="537"/>
      <c r="AL10" s="536"/>
      <c r="AM10" s="399" t="e">
        <f>AO10/(1+AL8)</f>
        <v>#VALUE!</v>
      </c>
      <c r="AN10" s="536"/>
      <c r="AO10" s="399" t="e">
        <f>AG9</f>
        <v>#VALUE!</v>
      </c>
      <c r="AQ10" s="561" t="str">
        <f>AD68</f>
        <v xml:space="preserve"> 0 noche a  €/N €;</v>
      </c>
      <c r="AR10" s="557"/>
      <c r="AS10" s="555"/>
      <c r="AT10" s="560"/>
      <c r="AU10" s="561" t="str">
        <f>W26</f>
        <v/>
      </c>
      <c r="AV10" s="557" t="str">
        <f>AD29</f>
        <v/>
      </c>
      <c r="AW10" s="290"/>
      <c r="AX10" s="570"/>
      <c r="CQ10" s="441" t="str">
        <f t="shared" si="0"/>
        <v/>
      </c>
      <c r="CR10" s="1240" t="str">
        <f>IF($B$94&lt;&gt;"","",C10)</f>
        <v/>
      </c>
      <c r="CS10" s="1240"/>
      <c r="CT10" s="1240"/>
      <c r="CU10" s="61" t="str">
        <f>IF($B$94&lt;&gt;"","",F10)</f>
        <v/>
      </c>
      <c r="CV10" s="1240" t="str">
        <f>IF($B$94&lt;&gt;"","",G10)</f>
        <v/>
      </c>
      <c r="CW10" s="1240"/>
    </row>
    <row r="11" spans="1:103" ht="13.8" x14ac:dyDescent="0.25">
      <c r="B11" s="44" t="s">
        <v>196</v>
      </c>
      <c r="C11" s="1294"/>
      <c r="D11" s="1294"/>
      <c r="E11" s="1294"/>
      <c r="F11" s="1294"/>
      <c r="G11" s="1294"/>
      <c r="H11" s="1294"/>
      <c r="I11" s="132"/>
      <c r="J11" s="275"/>
      <c r="K11" s="276" t="s">
        <v>322</v>
      </c>
      <c r="L11" s="276"/>
      <c r="M11" s="282">
        <v>0.91666666666666663</v>
      </c>
      <c r="N11" s="282">
        <f>D17-D15</f>
        <v>0</v>
      </c>
      <c r="O11" s="276"/>
      <c r="P11" s="282">
        <v>0.625</v>
      </c>
      <c r="Q11" s="276"/>
      <c r="R11" s="276"/>
      <c r="S11" s="276"/>
      <c r="T11" s="276"/>
      <c r="U11" s="276"/>
      <c r="V11" s="276"/>
      <c r="W11" s="1058" t="str">
        <f t="shared" ref="W11" si="7">IF(AC8&lt;&gt;0,W8 &amp; " " &amp; X8 &amp;" " &amp; Y8 &amp;" " &amp; Z8 &amp; " "&amp; AA8  &amp; " "&amp; AB8  &amp; " "&amp; AC8,"")</f>
        <v/>
      </c>
      <c r="X11" s="1058"/>
      <c r="Y11" s="1058"/>
      <c r="Z11" s="1058"/>
      <c r="AA11" s="1058"/>
      <c r="AB11" s="1058"/>
      <c r="AC11" s="1058"/>
      <c r="AE11" s="276"/>
      <c r="AF11" s="276"/>
      <c r="AG11" s="539"/>
      <c r="AH11" s="539"/>
      <c r="AI11" s="549" t="e">
        <f>IF(AH8="","",IF(AC8&lt;&gt;0,X8&amp;""&amp;Y8&amp;" "&amp;Z8&amp;" "&amp;AJ9&amp;AB6&amp;" "&amp;AI9&amp;AC6,""))</f>
        <v>#VALUE!</v>
      </c>
      <c r="AJ11" s="537"/>
      <c r="AK11" s="537"/>
      <c r="AL11" s="536"/>
      <c r="AM11" s="536"/>
      <c r="AN11" s="536"/>
      <c r="AO11" s="536"/>
      <c r="AQ11" s="561"/>
      <c r="AR11" s="557"/>
      <c r="AS11" s="557"/>
      <c r="AT11" s="560"/>
      <c r="AU11" s="561" t="str">
        <f>W46</f>
        <v/>
      </c>
      <c r="AV11" s="557" t="str">
        <f>AD49</f>
        <v/>
      </c>
      <c r="AW11" s="290"/>
      <c r="AX11" s="570"/>
      <c r="CQ11" s="441" t="str">
        <f t="shared" si="0"/>
        <v/>
      </c>
      <c r="CR11" s="1241" t="str">
        <f>IF($B$94&lt;&gt;"","",C11)</f>
        <v/>
      </c>
      <c r="CS11" s="1241"/>
      <c r="CT11" s="1241"/>
      <c r="CU11" s="1241"/>
      <c r="CV11" s="1241"/>
      <c r="CW11" s="1241"/>
    </row>
    <row r="12" spans="1:103" ht="13.8" x14ac:dyDescent="0.25">
      <c r="B12" s="44" t="s">
        <v>197</v>
      </c>
      <c r="C12" s="1295"/>
      <c r="D12" s="1295"/>
      <c r="E12" s="1295"/>
      <c r="F12" s="1295"/>
      <c r="G12" s="56" t="s">
        <v>199</v>
      </c>
      <c r="H12" s="707"/>
      <c r="I12" s="132"/>
      <c r="J12" s="275"/>
      <c r="K12" s="276"/>
      <c r="L12" s="276"/>
      <c r="M12" s="276"/>
      <c r="N12" s="276"/>
      <c r="O12" s="276"/>
      <c r="P12" s="282">
        <v>0.91666666666666663</v>
      </c>
      <c r="Q12" s="276"/>
      <c r="R12" s="276"/>
      <c r="S12" s="276"/>
      <c r="T12" s="276"/>
      <c r="U12" s="276"/>
      <c r="V12" s="276"/>
      <c r="W12" s="1058" t="str">
        <f>IF(AC9&lt;&gt;0,W9 &amp; " " &amp; X9 &amp;" " &amp; Y9 &amp;" " &amp; Z9 &amp; " "&amp; AA9  &amp; " "&amp; AB9  &amp; " "&amp; AC9,"")</f>
        <v/>
      </c>
      <c r="X12" s="1058"/>
      <c r="Y12" s="1058"/>
      <c r="Z12" s="1058"/>
      <c r="AA12" s="1058"/>
      <c r="AB12" s="1058"/>
      <c r="AC12" s="1058"/>
      <c r="AE12" s="276"/>
      <c r="AF12" s="276"/>
      <c r="AG12" s="539"/>
      <c r="AH12" s="539"/>
      <c r="AI12" s="549" t="e">
        <f>IF(AH9="","",IF(AC9&lt;&gt;0,X9&amp;""&amp;Y9&amp;" "&amp;Z9&amp;" "&amp;AH9&amp;AB6&amp;" "&amp;AI10&amp;AC6,""))</f>
        <v>#VALUE!</v>
      </c>
      <c r="AJ12" s="537"/>
      <c r="AK12" s="537"/>
      <c r="AL12" s="536"/>
      <c r="AM12" s="536"/>
      <c r="AN12" s="536"/>
      <c r="AO12" s="536"/>
      <c r="AQ12" s="562"/>
      <c r="AR12" s="563"/>
      <c r="AS12" s="564"/>
      <c r="AT12" s="565"/>
      <c r="AU12" s="562" t="str">
        <f>W66</f>
        <v/>
      </c>
      <c r="AV12" s="563" t="str">
        <f>AD69</f>
        <v/>
      </c>
      <c r="AW12" s="571"/>
      <c r="AX12" s="572"/>
      <c r="CQ12" s="441" t="str">
        <f t="shared" si="0"/>
        <v/>
      </c>
      <c r="CR12" s="1242" t="str">
        <f>IF($B$94&lt;&gt;"","",C12)</f>
        <v/>
      </c>
      <c r="CS12" s="1242"/>
      <c r="CT12" s="1242"/>
      <c r="CU12" s="1242"/>
      <c r="CV12" s="56" t="str">
        <f>IF($B$94&lt;&gt;"","",G12)</f>
        <v/>
      </c>
      <c r="CW12" s="450" t="str">
        <f>IF($B$94&lt;&gt;"","",H12)</f>
        <v/>
      </c>
    </row>
    <row r="13" spans="1:103" ht="13.8" x14ac:dyDescent="0.25">
      <c r="A13" s="9"/>
      <c r="B13" s="9" t="s">
        <v>213</v>
      </c>
      <c r="C13" s="124" t="s">
        <v>215</v>
      </c>
      <c r="D13" s="172"/>
      <c r="E13" s="191" t="s">
        <v>216</v>
      </c>
      <c r="F13" s="172"/>
      <c r="G13" s="697" t="s">
        <v>442</v>
      </c>
      <c r="H13" s="93"/>
      <c r="I13" s="132"/>
      <c r="J13" s="275"/>
      <c r="K13" s="276" t="s">
        <v>209</v>
      </c>
      <c r="L13" s="276"/>
      <c r="M13" s="276"/>
      <c r="N13" s="276"/>
      <c r="O13" s="276"/>
      <c r="P13" s="276"/>
      <c r="Q13" s="276"/>
      <c r="R13" s="276"/>
      <c r="S13" s="276"/>
      <c r="T13" s="276"/>
      <c r="U13" s="276"/>
      <c r="V13" s="276"/>
      <c r="W13" s="1058" t="str">
        <f>IF(X6&gt;0,"Total alojamiento en T. Nacional: "&amp;TEXT((X6),"#.###,00 €")&amp;" desglosado en:" &amp; W10 &amp;" " &amp;" " &amp; W11 &amp;" " &amp; W12,"")</f>
        <v/>
      </c>
      <c r="X13" s="1058"/>
      <c r="Y13" s="1058"/>
      <c r="Z13" s="1058"/>
      <c r="AA13" s="1058"/>
      <c r="AB13" s="1058"/>
      <c r="AC13" s="1058"/>
      <c r="AD13" s="1058"/>
      <c r="AE13" s="1058"/>
      <c r="AF13" s="1058"/>
      <c r="AG13" s="1058"/>
      <c r="AH13" s="1058"/>
      <c r="AI13" s="1058"/>
      <c r="AJ13" s="290" t="s">
        <v>385</v>
      </c>
      <c r="AQ13" s="555"/>
      <c r="AR13" s="555"/>
      <c r="AS13" s="555"/>
      <c r="AT13" s="555"/>
      <c r="AU13" s="555"/>
      <c r="AV13" s="556"/>
      <c r="CQ13" s="441" t="str">
        <f t="shared" si="0"/>
        <v/>
      </c>
      <c r="CR13" s="124" t="str">
        <f>IF($B$94&lt;&gt;"","",C13)</f>
        <v/>
      </c>
      <c r="CS13" s="516" t="str">
        <f>IF($B$94&lt;&gt;"","",D13)</f>
        <v/>
      </c>
      <c r="CT13" s="191" t="str">
        <f>IF($B$94&lt;&gt;"","",E13)</f>
        <v/>
      </c>
      <c r="CU13" s="516" t="str">
        <f>IF($B$94&lt;&gt;"","",F13)</f>
        <v/>
      </c>
      <c r="CV13" s="56"/>
      <c r="CW13" s="93"/>
    </row>
    <row r="14" spans="1:103" ht="15.6" x14ac:dyDescent="0.3">
      <c r="B14" s="87" t="s">
        <v>144</v>
      </c>
      <c r="C14" s="160"/>
      <c r="D14" s="159" t="s">
        <v>165</v>
      </c>
      <c r="E14" s="1116" t="str">
        <f>IF(F88&lt;&gt;"","",IF(I14&lt;1,"",IF(I14="","",IF(AND(C18&lt;&gt;"",F88="",I14&gt;0,C15&lt;&gt;C17),"Días intermedios, manutención con pernoctación, según días con derecho a dietas",""))))</f>
        <v/>
      </c>
      <c r="F14" s="1116"/>
      <c r="G14" s="1116"/>
      <c r="H14" s="1116"/>
      <c r="I14" s="132"/>
      <c r="J14" s="275"/>
      <c r="K14" s="276" t="s">
        <v>210</v>
      </c>
      <c r="L14" s="276"/>
      <c r="M14" s="276"/>
      <c r="N14" s="276"/>
      <c r="O14" s="276"/>
      <c r="P14" s="276"/>
      <c r="Q14" s="276"/>
      <c r="R14" s="276"/>
      <c r="S14" s="276"/>
      <c r="T14" s="276"/>
      <c r="U14" s="276"/>
      <c r="V14" s="276"/>
      <c r="W14" s="398" t="s">
        <v>292</v>
      </c>
      <c r="X14" s="586">
        <f>SUM(G23:G26)</f>
        <v>0</v>
      </c>
      <c r="Y14" s="276" t="s">
        <v>386</v>
      </c>
      <c r="AB14" s="276" t="s">
        <v>353</v>
      </c>
      <c r="AC14" s="276" t="s">
        <v>349</v>
      </c>
      <c r="AD14" s="276" t="s">
        <v>354</v>
      </c>
      <c r="AE14" s="276"/>
      <c r="AF14" s="276"/>
      <c r="AG14"/>
      <c r="AH14"/>
      <c r="AI14"/>
      <c r="AJ14" s="551" t="e">
        <f>AJ13&amp;" "&amp;AI11</f>
        <v>#VALUE!</v>
      </c>
      <c r="AK14"/>
      <c r="AL14"/>
      <c r="AM14"/>
      <c r="AN14"/>
      <c r="AO14"/>
      <c r="AQ14" s="566" t="s">
        <v>388</v>
      </c>
      <c r="AR14" s="573"/>
      <c r="AS14" s="573"/>
      <c r="AT14" s="573"/>
      <c r="AU14" s="567"/>
      <c r="AV14" s="567"/>
      <c r="AW14" s="568"/>
      <c r="AX14" s="569"/>
      <c r="CQ14" s="463" t="str">
        <f t="shared" si="0"/>
        <v/>
      </c>
      <c r="CR14" s="160"/>
      <c r="CS14" s="159"/>
      <c r="CT14" s="1024"/>
      <c r="CU14" s="1024"/>
      <c r="CV14" s="1024"/>
      <c r="CW14" s="1024"/>
    </row>
    <row r="15" spans="1:103" ht="13.8" x14ac:dyDescent="0.25">
      <c r="A15" s="10"/>
      <c r="B15" s="23" t="str">
        <f>IF(AND(C15&lt;&gt;"",D15=""),"Falta indicar la hora","Desde")</f>
        <v>Desde</v>
      </c>
      <c r="C15" s="123"/>
      <c r="D15" s="125"/>
      <c r="E15" s="1278" t="str">
        <f>IF(B15="Falta indicar la hora","",IF(AND(C2=M1,C15=C17,C15&lt;&gt;"",D15&gt;P10,D17&lt;=P12),"No corresponde dietas",IF(AND(C2=M1,C15=C17,C15&lt;&gt;"",D15&lt;=P10,D17&gt;P12),"Manutención sin pernoctar",IF(AND(C2=M1,C15=C17,C15&lt;&gt;"",D15&gt;P10,D17&gt;P12),"1/2 Manutención",IF(AND(C2=M1,C15=C17,C15&lt;&gt;"",D15&lt;=P10,D17&lt;=P11),"No corresponde dietas",IF(AND(C2=M1,C15=C17,C15&lt;&gt;"",D15&lt;=P10,D17&gt;P11,D17&lt;=P12),"1/2 Manutención",IF(AND(C2=M1,C15&lt;&gt;C17,C15&lt;&gt;"",D15&lt;=P10),"Para el día de salida: salida , manutención pernoctando",IF(AND(C2=M1,C15&lt;&gt;C17,C15&lt;&gt;"",D15&gt;P12),"Para el día de salida: No corresponde manutención",IF(AND(C2=M1,C15&lt;&gt;C17,C15&lt;&gt;"",D15&gt;P10),"Para el día de salida: salida 1/2 manutención",IF(AND(C2=M2,C15&lt;&gt;"",C15=C17,D15&lt;=M9,D17&gt;M10,N11&gt;=N9),"Sólo le corresponde 1/2 manutención",IF(AND(C2=M2,C15&lt;&gt;"",C15&lt;&gt;C17,D15&lt;=M9),"Para el día de salida: Manute. Completa",IF(AND(C2=M2,C15&lt;&gt;"",C15&lt;&gt;C17,D15&gt;M9,D15&lt;=M11),"Para el día de salida:1/2 manutención",IF(AND(C2=M2,C15&lt;&gt;"",C15&lt;&gt;C17,D15&gt;=M11),"Para el día de salida no corresponde dieta",IF(AND(OR(D15&gt;=M9,D17&lt;=M10,N11&lt;N9),C2=M2,C15&lt;&gt;"",C15=C17),"No le corresponde dietas",""))))))))))))))</f>
        <v/>
      </c>
      <c r="F15" s="1278"/>
      <c r="G15" s="1278"/>
      <c r="H15" s="1278"/>
      <c r="I15" s="249"/>
      <c r="J15" s="275"/>
      <c r="K15" s="276" t="s">
        <v>217</v>
      </c>
      <c r="L15" s="276"/>
      <c r="M15" s="276"/>
      <c r="N15" s="276"/>
      <c r="O15" s="276"/>
      <c r="P15" s="277" t="s">
        <v>129</v>
      </c>
      <c r="Q15" s="276"/>
      <c r="R15" s="276"/>
      <c r="S15" s="276"/>
      <c r="T15" s="276"/>
      <c r="U15" s="276"/>
      <c r="V15" s="276"/>
      <c r="W15" s="324" t="str">
        <f>B23</f>
        <v>1/2 manutención</v>
      </c>
      <c r="X15" s="370">
        <f>C23</f>
        <v>0</v>
      </c>
      <c r="Y15" s="324" t="str">
        <f>D23</f>
        <v>día</v>
      </c>
      <c r="Z15" s="324" t="s">
        <v>259</v>
      </c>
      <c r="AA15" s="323" t="str">
        <f>E23</f>
        <v/>
      </c>
      <c r="AB15" s="324" t="str">
        <f>F23</f>
        <v>€/día</v>
      </c>
      <c r="AC15" s="371">
        <f>G23</f>
        <v>0</v>
      </c>
      <c r="AD15" s="378"/>
      <c r="AE15" s="378"/>
      <c r="AF15" s="276"/>
      <c r="AG15"/>
      <c r="AH15"/>
      <c r="AI15"/>
      <c r="AJ15" s="552" t="e">
        <f>IF(AI12="","",AJ13&amp;" "&amp;W9&amp;" "&amp;AI12)</f>
        <v>#VALUE!</v>
      </c>
      <c r="AK15"/>
      <c r="AL15"/>
      <c r="AM15"/>
      <c r="AN15"/>
      <c r="AO15"/>
      <c r="AQ15" s="559"/>
      <c r="AR15" s="555"/>
      <c r="AS15" s="555"/>
      <c r="AT15" s="555"/>
      <c r="AU15" s="555"/>
      <c r="AV15" s="555"/>
      <c r="AW15" s="290"/>
      <c r="AX15" s="570"/>
      <c r="CQ15" s="23" t="str">
        <f t="shared" si="0"/>
        <v/>
      </c>
      <c r="CR15" s="451" t="str">
        <f>IF(C15="","",IF($B$94&lt;&gt;"","",C15))</f>
        <v/>
      </c>
      <c r="CS15" s="452" t="str">
        <f>IF(D15="","",IF($B$94&lt;&gt;"","",D15))</f>
        <v/>
      </c>
      <c r="CT15" s="1233" t="str">
        <f>IF($B$94&lt;&gt;"","",E15)</f>
        <v/>
      </c>
      <c r="CU15" s="1233"/>
      <c r="CV15" s="1233"/>
      <c r="CW15" s="1233"/>
    </row>
    <row r="16" spans="1:103" s="183" customFormat="1" ht="13.8" x14ac:dyDescent="0.25">
      <c r="A16" s="10"/>
      <c r="B16" s="23"/>
      <c r="C16" s="223"/>
      <c r="D16" s="222"/>
      <c r="E16" s="1277" t="str">
        <f>IF(B8=K1,"",IF(K19&lt;1,"",IF(K19="","",IF(AND(C18&lt;&gt;"",K19&gt;0,C15&lt;&gt;C17),"Días intermedios, manutención completa según días con derecho a dietas",""))))</f>
        <v/>
      </c>
      <c r="F16" s="1277"/>
      <c r="G16" s="1277"/>
      <c r="H16" s="1277"/>
      <c r="I16" s="1277"/>
      <c r="J16" s="275"/>
      <c r="K16" s="276" t="s">
        <v>218</v>
      </c>
      <c r="L16" s="276"/>
      <c r="M16" s="276"/>
      <c r="N16" s="276"/>
      <c r="O16" s="276"/>
      <c r="P16" s="277" t="s">
        <v>134</v>
      </c>
      <c r="Q16" s="276"/>
      <c r="R16" s="276"/>
      <c r="S16" s="276"/>
      <c r="T16" s="276"/>
      <c r="U16" s="276"/>
      <c r="V16" s="276"/>
      <c r="W16" s="324" t="str">
        <f t="shared" ref="W16:W18" si="8">B24</f>
        <v/>
      </c>
      <c r="X16" s="370">
        <f t="shared" ref="X16:X18" si="9">C24</f>
        <v>0</v>
      </c>
      <c r="Y16" s="324" t="str">
        <f t="shared" ref="Y16:Y18" si="10">D24</f>
        <v>día</v>
      </c>
      <c r="Z16" s="324" t="s">
        <v>259</v>
      </c>
      <c r="AA16" s="323" t="str">
        <f t="shared" ref="AA16:AA18" si="11">E24</f>
        <v/>
      </c>
      <c r="AB16" s="324" t="str">
        <f t="shared" ref="AB16:AB18" si="12">F24</f>
        <v>€/día</v>
      </c>
      <c r="AC16" s="371" t="str">
        <f t="shared" ref="AC16:AC18" si="13">G24</f>
        <v/>
      </c>
      <c r="AD16" s="378"/>
      <c r="AE16" s="378"/>
      <c r="AF16" s="276"/>
      <c r="AG16"/>
      <c r="AH16"/>
      <c r="AI16"/>
      <c r="AJ16"/>
      <c r="AK16"/>
      <c r="AL16"/>
      <c r="AM16"/>
      <c r="AN16"/>
      <c r="AO16"/>
      <c r="AP16" s="290"/>
      <c r="AQ16" s="561" t="s">
        <v>351</v>
      </c>
      <c r="AR16" s="290"/>
      <c r="AS16" s="290"/>
      <c r="AT16" s="290"/>
      <c r="AU16" s="290"/>
      <c r="AV16" s="290"/>
      <c r="AW16" s="290"/>
      <c r="AX16" s="570"/>
      <c r="AY16" s="293"/>
      <c r="AZ16" s="293"/>
      <c r="BA16" s="293"/>
      <c r="BB16" s="293"/>
      <c r="BC16" s="293"/>
      <c r="BD16" s="293"/>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Q16" s="23"/>
      <c r="CR16" s="223"/>
      <c r="CS16" s="222"/>
      <c r="CT16" s="1239" t="str">
        <f>IF($B$94&lt;&gt;"","",E16)</f>
        <v/>
      </c>
      <c r="CU16" s="1239"/>
      <c r="CV16" s="1239"/>
      <c r="CW16" s="1239"/>
      <c r="CX16" s="1239"/>
      <c r="CY16" s="435"/>
    </row>
    <row r="17" spans="1:103" ht="13.65" customHeight="1" x14ac:dyDescent="0.25">
      <c r="A17" s="10"/>
      <c r="B17" s="23" t="str">
        <f>IF(AND(C17&lt;&gt;"",D17=""),"Falta indicar la hora","Hasta")</f>
        <v>Hasta</v>
      </c>
      <c r="C17" s="123"/>
      <c r="D17" s="125"/>
      <c r="E17" s="1277" t="str">
        <f>IF(B17="Falta indicar la hora","",IF(D17="","",IF(AND(C2=M1,D17&gt;P12,C15&lt;&gt;C17,D17&lt;&gt;""),"Para el día de regreso: manutención sin pernoctar",IF(AND(C2=M1,D17&lt;=P11,C15&lt;&gt;C17),"Para el días de regreso: No corresponde manutención",IF(AND(C2=M1,C15&lt;&gt;C17,D17&gt;P11,D17&lt;=P12),"Para el día de regreso:  1/2 manutención",IF(AND(C2=M2,C17&lt;&gt;"",C15&lt;&gt;C17,D17&gt;M11),"Para el día de regreso: regreso posterior a las 22:00 H,",IF(AND(C2=M2,C17&lt;&gt;"",C15&lt;&gt;C17,D17&gt;M9),"Para el día de regreso: Regreso posterior a las 14:00 H 1/2 nanut.",IF(AND(C2=M2,C17&lt;&gt;"",C15&lt;&gt;C17,D17&lt;=M9),"Para el día de regreso no corresponde dieta",""))))))))</f>
        <v/>
      </c>
      <c r="F17" s="1277"/>
      <c r="G17" s="1277"/>
      <c r="H17" s="1277"/>
      <c r="I17" s="1277"/>
      <c r="J17" s="275"/>
      <c r="K17" s="276"/>
      <c r="L17" s="276"/>
      <c r="M17" s="276"/>
      <c r="N17" s="276"/>
      <c r="O17" s="276"/>
      <c r="P17" s="277" t="s">
        <v>135</v>
      </c>
      <c r="Q17" s="276"/>
      <c r="R17" s="276"/>
      <c r="S17" s="276"/>
      <c r="T17" s="276"/>
      <c r="U17" s="276"/>
      <c r="V17" s="276"/>
      <c r="W17" s="324" t="str">
        <f t="shared" si="8"/>
        <v>Manutención (según factura/Ticket)</v>
      </c>
      <c r="X17" s="370">
        <f t="shared" si="9"/>
        <v>0</v>
      </c>
      <c r="Y17" s="324" t="str">
        <f t="shared" si="10"/>
        <v>día</v>
      </c>
      <c r="Z17" s="324" t="s">
        <v>259</v>
      </c>
      <c r="AA17" s="323">
        <f t="shared" si="11"/>
        <v>0</v>
      </c>
      <c r="AB17" s="324" t="str">
        <f t="shared" si="12"/>
        <v>€/día</v>
      </c>
      <c r="AC17" s="371">
        <f t="shared" si="13"/>
        <v>0</v>
      </c>
      <c r="AD17" s="378"/>
      <c r="AE17" s="378"/>
      <c r="AF17" s="276"/>
      <c r="AG17"/>
      <c r="AH17"/>
      <c r="AI17"/>
      <c r="AJ17"/>
      <c r="AK17"/>
      <c r="AL17"/>
      <c r="AM17"/>
      <c r="AN17"/>
      <c r="AO17"/>
      <c r="AQ17" s="561" t="s">
        <v>386</v>
      </c>
      <c r="AR17" s="557" t="e">
        <f>AJ15</f>
        <v>#VALUE!</v>
      </c>
      <c r="AV17" s="290"/>
      <c r="AW17" s="290"/>
      <c r="AX17" s="570"/>
      <c r="CQ17" s="23" t="str">
        <f>IF($B$94&lt;&gt;"","",B17)</f>
        <v/>
      </c>
      <c r="CR17" s="451" t="str">
        <f>IF(C17="","",IF($B$94&lt;&gt;"","",C17))</f>
        <v/>
      </c>
      <c r="CS17" s="452" t="str">
        <f>IF(D17="","",IF($B$94&lt;&gt;"","",D17))</f>
        <v/>
      </c>
      <c r="CT17" s="1239" t="str">
        <f>IF($B$94&lt;&gt;"","",E17)</f>
        <v/>
      </c>
      <c r="CU17" s="1239"/>
      <c r="CV17" s="1239"/>
      <c r="CW17" s="1239"/>
      <c r="CX17" s="1239"/>
    </row>
    <row r="18" spans="1:103" ht="13.8" x14ac:dyDescent="0.25">
      <c r="A18" s="10"/>
      <c r="B18" s="23" t="s">
        <v>170</v>
      </c>
      <c r="C18" s="197" t="str">
        <f>IF(OR(C15="",C17=""),"",C17-C15+1)</f>
        <v/>
      </c>
      <c r="D18" s="696" t="s">
        <v>442</v>
      </c>
      <c r="E18" s="1278" t="str">
        <f>IF(AND(C2=M2,C17&lt;&gt;"",C15&lt;&gt;C17,D17&gt;M11),"excepcionalmente manut. Completa, previa factura de la cena.","")</f>
        <v/>
      </c>
      <c r="F18" s="1278"/>
      <c r="G18" s="1278"/>
      <c r="H18" s="1278"/>
      <c r="I18" s="1278"/>
      <c r="J18" s="275"/>
      <c r="K18" s="276" t="s">
        <v>166</v>
      </c>
      <c r="L18" s="709">
        <f>SUM(G20:G26)</f>
        <v>0</v>
      </c>
      <c r="M18" s="276"/>
      <c r="N18" s="276"/>
      <c r="O18" s="276"/>
      <c r="P18" s="277" t="s">
        <v>137</v>
      </c>
      <c r="Q18" s="276"/>
      <c r="R18" s="276"/>
      <c r="S18" s="276"/>
      <c r="T18" s="276"/>
      <c r="U18" s="276"/>
      <c r="V18" s="276"/>
      <c r="W18" s="324" t="str">
        <f t="shared" si="8"/>
        <v/>
      </c>
      <c r="X18" s="370">
        <f t="shared" si="9"/>
        <v>0</v>
      </c>
      <c r="Y18" s="324" t="str">
        <f t="shared" si="10"/>
        <v/>
      </c>
      <c r="Z18" s="324" t="s">
        <v>259</v>
      </c>
      <c r="AA18" s="323" t="str">
        <f t="shared" si="11"/>
        <v/>
      </c>
      <c r="AB18" s="324" t="str">
        <f t="shared" si="12"/>
        <v/>
      </c>
      <c r="AC18" s="371" t="str">
        <f t="shared" si="13"/>
        <v/>
      </c>
      <c r="AD18" s="378"/>
      <c r="AE18" s="378"/>
      <c r="AF18" s="276"/>
      <c r="AG18"/>
      <c r="AH18"/>
      <c r="AI18"/>
      <c r="AJ18"/>
      <c r="AK18"/>
      <c r="AL18"/>
      <c r="AM18"/>
      <c r="AN18"/>
      <c r="AO18"/>
      <c r="AQ18" s="561"/>
      <c r="AR18" s="557" t="e">
        <f>AI36</f>
        <v>#VALUE!</v>
      </c>
      <c r="AV18" s="290"/>
      <c r="AW18" s="290"/>
      <c r="AX18" s="570"/>
      <c r="CQ18" s="23" t="str">
        <f>IF($B$94&lt;&gt;"","",B18)</f>
        <v/>
      </c>
      <c r="CR18" s="197" t="str">
        <f>IF($B$94&lt;&gt;"","",C18)</f>
        <v/>
      </c>
      <c r="CS18" s="10"/>
      <c r="CT18" s="1233"/>
      <c r="CU18" s="1233"/>
      <c r="CV18" s="1233"/>
      <c r="CW18" s="1233"/>
      <c r="CX18" s="1233"/>
    </row>
    <row r="19" spans="1:103" ht="13.05" customHeight="1" x14ac:dyDescent="0.25">
      <c r="A19" s="10"/>
      <c r="B19" s="202"/>
      <c r="C19" s="124"/>
      <c r="D19" s="10"/>
      <c r="E19" s="10"/>
      <c r="F19" s="10"/>
      <c r="G19" s="10"/>
      <c r="H19" s="13"/>
      <c r="I19" s="132"/>
      <c r="J19" s="275"/>
      <c r="K19" s="276" t="str">
        <f>IF(C18="","",C18-2)</f>
        <v/>
      </c>
      <c r="L19" s="276"/>
      <c r="M19" s="276"/>
      <c r="N19" s="276"/>
      <c r="O19" s="276"/>
      <c r="P19" s="277" t="s">
        <v>138</v>
      </c>
      <c r="Q19" s="276"/>
      <c r="R19" s="276"/>
      <c r="S19" s="276"/>
      <c r="T19" s="276"/>
      <c r="U19" s="276"/>
      <c r="V19" s="276"/>
      <c r="W19" s="1058" t="str">
        <f>IF(AC15&lt;&gt;0,W15 &amp; " " &amp; X15 &amp;" " &amp; Y15 &amp;" " &amp; Z15 &amp; " "&amp; AA15  &amp; " "&amp; AB15  &amp; " "&amp; AC15,"")</f>
        <v/>
      </c>
      <c r="X19" s="1058"/>
      <c r="Y19" s="1058"/>
      <c r="Z19" s="1058"/>
      <c r="AA19" s="1058"/>
      <c r="AB19" s="1058"/>
      <c r="AC19" s="1058"/>
      <c r="AD19" s="397" t="str">
        <f>IF(AC15&lt;&gt;0,AD14&amp;" "&amp;" "&amp;X15&amp;" "&amp;Y15&amp;" "&amp;Z15&amp;" "&amp;AA15&amp;$AB$14&amp;" "&amp;AC15&amp;$AC$14,"")</f>
        <v/>
      </c>
      <c r="AE19" s="276"/>
      <c r="AF19" s="276"/>
      <c r="AG19"/>
      <c r="AH19"/>
      <c r="AI19"/>
      <c r="AJ19"/>
      <c r="AK19"/>
      <c r="AL19"/>
      <c r="AM19"/>
      <c r="AN19"/>
      <c r="AO19"/>
      <c r="AQ19" s="561"/>
      <c r="AR19" s="557" t="e">
        <f>AL54</f>
        <v>#VALUE!</v>
      </c>
      <c r="AV19" s="290"/>
      <c r="AW19" s="290"/>
      <c r="AX19" s="570"/>
      <c r="CQ19" s="202"/>
      <c r="CR19" s="124"/>
      <c r="CS19" s="10"/>
      <c r="CT19" s="10"/>
      <c r="CU19" s="10"/>
      <c r="CV19" s="10"/>
      <c r="CW19" s="13"/>
    </row>
    <row r="20" spans="1:103" ht="13.8" x14ac:dyDescent="0.25">
      <c r="A20" s="10"/>
      <c r="B20" s="659" t="s">
        <v>116</v>
      </c>
      <c r="C20" s="704"/>
      <c r="D20" s="195" t="str">
        <f>IF(C20&gt;1,"noches","noche")</f>
        <v>noche</v>
      </c>
      <c r="E20" s="64" t="str">
        <f>IF(B8=K2,O7,IF(B8=K3,R8,IF(B8=K4,S8,"")))</f>
        <v/>
      </c>
      <c r="F20" s="131" t="s">
        <v>201</v>
      </c>
      <c r="G20" s="107" t="str">
        <f>IF(E20="","",C20*E20)</f>
        <v/>
      </c>
      <c r="H20" s="13"/>
      <c r="I20" s="132"/>
      <c r="J20" s="275"/>
      <c r="K20" s="276" t="s">
        <v>152</v>
      </c>
      <c r="L20" s="276" t="s">
        <v>153</v>
      </c>
      <c r="M20" s="276"/>
      <c r="N20" s="276"/>
      <c r="O20" s="276"/>
      <c r="P20" s="277" t="s">
        <v>150</v>
      </c>
      <c r="Q20" s="276"/>
      <c r="R20" s="276"/>
      <c r="S20" s="276"/>
      <c r="T20" s="276"/>
      <c r="U20" s="276"/>
      <c r="V20" s="276"/>
      <c r="W20" s="1058" t="str">
        <f t="shared" ref="W20:W21" si="14">IF(AC16&lt;&gt;0,W16 &amp; " " &amp; X16 &amp;" " &amp; Y16 &amp;" " &amp; Z16 &amp; " "&amp; AA16  &amp; " "&amp; AB16  &amp; " "&amp; AC16,"")</f>
        <v xml:space="preserve"> 0 día a  €/día </v>
      </c>
      <c r="X20" s="1058"/>
      <c r="Y20" s="1058"/>
      <c r="Z20" s="1058"/>
      <c r="AA20" s="1058"/>
      <c r="AB20" s="1058"/>
      <c r="AC20" s="1058"/>
      <c r="AD20" s="397" t="str">
        <f>IF(AC16&lt;&gt;0,X16&amp;" "&amp;Y16&amp;" "&amp;Z16&amp;" "&amp;AA16&amp;$AB$14&amp;" "&amp;AC16&amp;$AC$14,"")</f>
        <v>0 día a €/D €;</v>
      </c>
      <c r="AE20" s="276"/>
      <c r="AF20" s="276"/>
      <c r="AG20"/>
      <c r="AH20"/>
      <c r="AI20"/>
      <c r="AJ20"/>
      <c r="AK20"/>
      <c r="AL20"/>
      <c r="AM20"/>
      <c r="AN20"/>
      <c r="AO20"/>
      <c r="AQ20" s="562"/>
      <c r="AR20" s="563" t="e">
        <f>AL75</f>
        <v>#VALUE!</v>
      </c>
      <c r="AS20" s="571"/>
      <c r="AT20" s="571"/>
      <c r="AU20" s="571"/>
      <c r="AV20" s="571"/>
      <c r="AW20" s="571"/>
      <c r="AX20" s="572"/>
      <c r="CQ20" s="442" t="str">
        <f>IF($B$94&lt;&gt;"","",B20)</f>
        <v/>
      </c>
      <c r="CR20" s="453" t="str">
        <f>IF(C20="","",IF($B$94&lt;&gt;"","",C20))</f>
        <v/>
      </c>
      <c r="CS20" s="438" t="str">
        <f>IF($B$94&lt;&gt;"","",D20)</f>
        <v/>
      </c>
      <c r="CT20" s="64" t="str">
        <f>IF($B$94&lt;&gt;"","",E20)</f>
        <v/>
      </c>
      <c r="CU20" s="131" t="str">
        <f>IF($B$94&lt;&gt;"","",F20)</f>
        <v/>
      </c>
      <c r="CV20" s="107" t="str">
        <f>IF($B$94&lt;&gt;"","",G20)</f>
        <v/>
      </c>
      <c r="CW20" s="13"/>
    </row>
    <row r="21" spans="1:103" ht="13.8" x14ac:dyDescent="0.25">
      <c r="A21" s="10"/>
      <c r="B21" s="659" t="s">
        <v>105</v>
      </c>
      <c r="C21" s="704"/>
      <c r="D21" s="195" t="str">
        <f>IF(C21&gt;1,"noches","noche")</f>
        <v>noche</v>
      </c>
      <c r="E21" s="64">
        <f>IF(C21="",0,G21/C21)</f>
        <v>0</v>
      </c>
      <c r="F21" s="131" t="s">
        <v>201</v>
      </c>
      <c r="G21" s="206">
        <v>0</v>
      </c>
      <c r="H21" s="1275" t="str">
        <f>IF(AND(C21="",G21&gt;0),"Falta indicar las noches",IF(L21="","",IF(L21&gt;0,"Supera el Decreto en"&amp;TEXT((L21)," #.##0,00 €"),"")))</f>
        <v/>
      </c>
      <c r="I21" s="1275"/>
      <c r="J21" s="275"/>
      <c r="K21" s="360" t="str">
        <f>IF(E20="","",C21*E20)</f>
        <v/>
      </c>
      <c r="L21" s="279" t="str">
        <f>IF(K21="","",G21-K21)</f>
        <v/>
      </c>
      <c r="M21" s="276" t="s">
        <v>242</v>
      </c>
      <c r="N21" s="276"/>
      <c r="O21" s="276"/>
      <c r="P21" s="277" t="s">
        <v>141</v>
      </c>
      <c r="Q21" s="276"/>
      <c r="R21" s="276"/>
      <c r="S21" s="276"/>
      <c r="T21" s="276"/>
      <c r="U21" s="276"/>
      <c r="V21" s="276"/>
      <c r="W21" s="1058" t="str">
        <f t="shared" si="14"/>
        <v/>
      </c>
      <c r="X21" s="1058"/>
      <c r="Y21" s="1058"/>
      <c r="Z21" s="1058"/>
      <c r="AA21" s="1058"/>
      <c r="AB21" s="1058"/>
      <c r="AC21" s="1058"/>
      <c r="AD21" s="397" t="str">
        <f>IF(AC17&lt;&gt;0,X17&amp;" "&amp;Y17&amp;" "&amp;Z17&amp;" "&amp;AA17&amp;$AB$14&amp;" "&amp;AC17&amp;$AC$14,"")</f>
        <v/>
      </c>
      <c r="AE21" s="276"/>
      <c r="AF21" s="276" t="str">
        <f>IF(X14&gt;0,"Manut. T.N."&amp;AD19&amp;" "&amp;AD20&amp;" "&amp;AD21&amp;" "&amp;AD22,"")</f>
        <v/>
      </c>
      <c r="CQ21" s="442" t="str">
        <f t="shared" ref="CQ21:CQ26" si="15">IF($B$94&lt;&gt;"","",B21)</f>
        <v/>
      </c>
      <c r="CR21" s="453" t="str">
        <f t="shared" ref="CR21:CR26" si="16">IF(C21="","",IF($B$94&lt;&gt;"","",C21))</f>
        <v/>
      </c>
      <c r="CS21" s="438" t="str">
        <f t="shared" ref="CS21:CS26" si="17">IF($B$94&lt;&gt;"","",D21)</f>
        <v/>
      </c>
      <c r="CT21" s="64" t="str">
        <f t="shared" ref="CT21:CT26" si="18">IF($B$94&lt;&gt;"","",E21)</f>
        <v/>
      </c>
      <c r="CU21" s="131" t="str">
        <f t="shared" ref="CU21:CU26" si="19">IF($B$94&lt;&gt;"","",F21)</f>
        <v/>
      </c>
      <c r="CV21" s="107" t="str">
        <f t="shared" ref="CV21:CV26" si="20">IF($B$94&lt;&gt;"","",G21)</f>
        <v/>
      </c>
      <c r="CW21" s="1007" t="str">
        <f>IF($B$94&lt;&gt;"","",H21)</f>
        <v/>
      </c>
      <c r="CX21" s="1007"/>
    </row>
    <row r="22" spans="1:103" ht="13.8" x14ac:dyDescent="0.25">
      <c r="A22" s="10"/>
      <c r="B22" s="660" t="s">
        <v>284</v>
      </c>
      <c r="C22" s="704"/>
      <c r="D22" s="195" t="str">
        <f t="shared" ref="D22" si="21">IF(C22&gt;1,"noches","noche")</f>
        <v>noche</v>
      </c>
      <c r="E22" s="217">
        <f>IF(C22="",0,G22/C22)</f>
        <v>0</v>
      </c>
      <c r="F22" s="131" t="s">
        <v>201</v>
      </c>
      <c r="G22" s="152">
        <v>0</v>
      </c>
      <c r="H22" s="1275" t="str">
        <f>IF(AND(C22="",G22&gt;0),"Falta indicar las noches",IF(L22="","",IF(L22&gt;0,"Supera el Decreto en"&amp;TEXT((L22)," #.##0,00 €"),M22)))</f>
        <v/>
      </c>
      <c r="I22" s="1275"/>
      <c r="J22" s="275"/>
      <c r="K22" s="279" t="str">
        <f>IF(E20="","",C22*E20)</f>
        <v/>
      </c>
      <c r="L22" s="279" t="str">
        <f>IF(K22="","",G22-K22)</f>
        <v/>
      </c>
      <c r="M22" s="276" t="s">
        <v>128</v>
      </c>
      <c r="N22" s="276"/>
      <c r="O22" s="276"/>
      <c r="P22" s="277" t="s">
        <v>149</v>
      </c>
      <c r="Q22" s="276"/>
      <c r="R22" s="276"/>
      <c r="S22" s="276"/>
      <c r="T22" s="276"/>
      <c r="U22" s="276"/>
      <c r="V22" s="276"/>
      <c r="W22" s="1058" t="str">
        <f>IF(OR(AC18=0,AC18=""),"",W18&amp;" "&amp;X18&amp;" "&amp;Y18&amp;" "&amp;Z18&amp;" "&amp;AA18&amp;" "&amp;AB18&amp;" "&amp;AC18)</f>
        <v/>
      </c>
      <c r="X22" s="1058"/>
      <c r="Y22" s="1058"/>
      <c r="Z22" s="1058"/>
      <c r="AA22" s="1058"/>
      <c r="AB22" s="1058"/>
      <c r="AC22" s="1058"/>
      <c r="AD22" s="397" t="str">
        <f>IF(AC18&lt;&gt;"",X18&amp;" "&amp;Y18&amp;" "&amp;Z18&amp;" "&amp;AA18&amp;$AB$14&amp;" "&amp;AC18&amp;$AC$14,"")</f>
        <v/>
      </c>
      <c r="AE22" s="276"/>
      <c r="AF22" s="276"/>
      <c r="AQ22" s="290" t="s">
        <v>390</v>
      </c>
      <c r="CQ22" s="441" t="str">
        <f t="shared" si="15"/>
        <v/>
      </c>
      <c r="CR22" s="453" t="str">
        <f t="shared" si="16"/>
        <v/>
      </c>
      <c r="CS22" s="438" t="str">
        <f t="shared" si="17"/>
        <v/>
      </c>
      <c r="CT22" s="64" t="str">
        <f t="shared" si="18"/>
        <v/>
      </c>
      <c r="CU22" s="131" t="str">
        <f t="shared" si="19"/>
        <v/>
      </c>
      <c r="CV22" s="107" t="str">
        <f t="shared" si="20"/>
        <v/>
      </c>
      <c r="CW22" s="1007" t="str">
        <f>IF($B$94&lt;&gt;"","",H22)</f>
        <v/>
      </c>
      <c r="CX22" s="1007"/>
    </row>
    <row r="23" spans="1:103" ht="13.8" x14ac:dyDescent="0.25">
      <c r="A23" s="10"/>
      <c r="B23" s="661" t="s">
        <v>0</v>
      </c>
      <c r="C23" s="704"/>
      <c r="D23" s="195" t="str">
        <f>IF(C23&gt;1,"días","día")</f>
        <v>día</v>
      </c>
      <c r="E23" s="64" t="str">
        <f>IF(B8=K2,O6,IF(B8=K3,R7,IF(B8=K4,S7,"")))</f>
        <v/>
      </c>
      <c r="F23" s="131" t="s">
        <v>200</v>
      </c>
      <c r="G23" s="105">
        <f>IF(AND(C23&gt;0,B8=K1),0,IF(C23="",0,C23*E23))</f>
        <v>0</v>
      </c>
      <c r="H23" s="1280" t="s">
        <v>523</v>
      </c>
      <c r="I23" s="1280"/>
      <c r="J23" s="275"/>
      <c r="K23" s="276" t="s">
        <v>152</v>
      </c>
      <c r="L23" s="276" t="s">
        <v>153</v>
      </c>
      <c r="M23" s="276"/>
      <c r="N23" s="276"/>
      <c r="O23" s="276"/>
      <c r="P23" s="277" t="s">
        <v>139</v>
      </c>
      <c r="Q23" s="276"/>
      <c r="R23" s="276"/>
      <c r="S23" s="276"/>
      <c r="T23" s="276"/>
      <c r="U23" s="276"/>
      <c r="V23" s="276"/>
      <c r="W23" s="1058" t="str">
        <f>IF(X14&gt;0,"Total manutención en T. Nacional: "&amp;TEXT((X14),"#.###,00 €")&amp;" desglosado en:" &amp; W19 &amp;" " &amp;" " &amp; W20 &amp;" " &amp; W21&amp;" " &amp;W21,"")</f>
        <v/>
      </c>
      <c r="X23" s="1058"/>
      <c r="Y23" s="1058"/>
      <c r="Z23" s="1058"/>
      <c r="AA23" s="1058"/>
      <c r="AB23" s="1058"/>
      <c r="AC23" s="1058"/>
      <c r="AD23" s="1058"/>
      <c r="AE23" s="1058"/>
      <c r="AF23" s="1058"/>
      <c r="AG23" s="1058"/>
      <c r="AH23" s="1058"/>
      <c r="AI23" s="1058"/>
      <c r="AJ23" s="1058"/>
      <c r="AQ23" s="290" t="s">
        <v>391</v>
      </c>
      <c r="CQ23" s="442" t="str">
        <f t="shared" si="15"/>
        <v/>
      </c>
      <c r="CR23" s="453" t="str">
        <f t="shared" si="16"/>
        <v/>
      </c>
      <c r="CS23" s="438" t="str">
        <f t="shared" si="17"/>
        <v/>
      </c>
      <c r="CT23" s="64" t="str">
        <f t="shared" si="18"/>
        <v/>
      </c>
      <c r="CU23" s="131" t="str">
        <f t="shared" si="19"/>
        <v/>
      </c>
      <c r="CV23" s="107" t="str">
        <f t="shared" si="20"/>
        <v/>
      </c>
      <c r="CW23" s="517"/>
    </row>
    <row r="24" spans="1:103" ht="13.8" x14ac:dyDescent="0.25">
      <c r="A24" s="10"/>
      <c r="B24" s="662" t="str">
        <f>IF(B8=K2,M5,IF(B8=K3,P5,IF(B8=K4,P5,"")))</f>
        <v/>
      </c>
      <c r="C24" s="704"/>
      <c r="D24" s="195" t="str">
        <f t="shared" ref="D24:D25" si="22">IF(C24&gt;1,"días","día")</f>
        <v>día</v>
      </c>
      <c r="E24" s="64" t="str">
        <f>IF(B24="","",IF(B24=M5,O5,IF(AND(B8=K3,B24=P5),R5,IF(AND(B8=K4,B24=P5),S5,""))))</f>
        <v/>
      </c>
      <c r="F24" s="131" t="s">
        <v>200</v>
      </c>
      <c r="G24" s="108" t="str">
        <f>IF(B24="","",C24*E24)</f>
        <v/>
      </c>
      <c r="H24" s="47"/>
      <c r="I24" s="132"/>
      <c r="J24" s="275"/>
      <c r="K24" s="283"/>
      <c r="L24" s="284"/>
      <c r="M24" s="276" t="s">
        <v>251</v>
      </c>
      <c r="N24" s="276"/>
      <c r="O24" s="276"/>
      <c r="P24" s="277" t="s">
        <v>140</v>
      </c>
      <c r="Q24" s="276"/>
      <c r="R24" s="276"/>
      <c r="S24" s="276"/>
      <c r="T24" s="276"/>
      <c r="U24" s="276"/>
      <c r="V24" s="276"/>
      <c r="W24" s="276"/>
      <c r="AE24" s="276"/>
      <c r="AF24" s="276"/>
      <c r="AQ24" s="290" t="str">
        <f>Y14</f>
        <v>ESPAÑA</v>
      </c>
      <c r="AR24" s="369">
        <f>X14</f>
        <v>0</v>
      </c>
      <c r="CQ24" s="442" t="str">
        <f t="shared" si="15"/>
        <v/>
      </c>
      <c r="CR24" s="453" t="str">
        <f t="shared" si="16"/>
        <v/>
      </c>
      <c r="CS24" s="438" t="str">
        <f t="shared" si="17"/>
        <v/>
      </c>
      <c r="CT24" s="64" t="str">
        <f t="shared" si="18"/>
        <v/>
      </c>
      <c r="CU24" s="131" t="str">
        <f t="shared" si="19"/>
        <v/>
      </c>
      <c r="CV24" s="107" t="str">
        <f t="shared" si="20"/>
        <v/>
      </c>
      <c r="CW24" s="379"/>
    </row>
    <row r="25" spans="1:103" ht="13.65" customHeight="1" x14ac:dyDescent="0.25">
      <c r="A25" s="10"/>
      <c r="B25" s="661" t="s">
        <v>122</v>
      </c>
      <c r="C25" s="705"/>
      <c r="D25" s="195" t="str">
        <f t="shared" si="22"/>
        <v>día</v>
      </c>
      <c r="E25" s="64">
        <f>IF(C25="",0,G25/C25)</f>
        <v>0</v>
      </c>
      <c r="F25" s="131" t="s">
        <v>200</v>
      </c>
      <c r="G25" s="207">
        <v>0</v>
      </c>
      <c r="H25" s="1274" t="str">
        <f>IF(AND(C25="",G25&gt;0),"Falta indicar los días",IF(L25="","",IF(L25&gt;0,"Supera el Decreto en"&amp;TEXT((L25)," #.##0,00 €"),"")))</f>
        <v/>
      </c>
      <c r="I25" s="1274"/>
      <c r="J25" s="275"/>
      <c r="K25" s="285" t="str">
        <f>IF(C25="","",IF(B8=K2,O5*C25,IF(B8=K3,R5*C25,IF(B8=K4,S5*C25,""))))</f>
        <v/>
      </c>
      <c r="L25" s="284" t="str">
        <f>IF(K25="","",G25-K25)</f>
        <v/>
      </c>
      <c r="M25" s="276" t="s">
        <v>251</v>
      </c>
      <c r="N25" s="276"/>
      <c r="O25" s="276"/>
      <c r="P25" s="277" t="s">
        <v>136</v>
      </c>
      <c r="Q25" s="276"/>
      <c r="R25" s="276"/>
      <c r="S25" s="276"/>
      <c r="T25" s="276"/>
      <c r="U25" s="276"/>
      <c r="V25" s="276"/>
      <c r="W25" s="276"/>
      <c r="X25" s="315" t="s">
        <v>296</v>
      </c>
      <c r="Y25" s="315" t="s">
        <v>297</v>
      </c>
      <c r="Z25" s="285">
        <f>X27+X35</f>
        <v>0</v>
      </c>
      <c r="AE25" s="276"/>
      <c r="AF25" s="276"/>
      <c r="AQ25" s="290" t="str">
        <f>W26</f>
        <v/>
      </c>
      <c r="AR25" s="369">
        <f>X35</f>
        <v>0</v>
      </c>
      <c r="CQ25" s="442" t="str">
        <f t="shared" si="15"/>
        <v/>
      </c>
      <c r="CR25" s="455" t="str">
        <f t="shared" si="16"/>
        <v/>
      </c>
      <c r="CS25" s="438" t="str">
        <f t="shared" si="17"/>
        <v/>
      </c>
      <c r="CT25" s="64" t="str">
        <f t="shared" si="18"/>
        <v/>
      </c>
      <c r="CU25" s="131" t="str">
        <f t="shared" si="19"/>
        <v/>
      </c>
      <c r="CV25" s="107" t="str">
        <f t="shared" si="20"/>
        <v/>
      </c>
      <c r="CW25" s="1233" t="str">
        <f>IF($B$94&lt;&gt;"","",H25)</f>
        <v/>
      </c>
      <c r="CX25" s="1233"/>
    </row>
    <row r="26" spans="1:103" ht="13.8" x14ac:dyDescent="0.25">
      <c r="A26" s="10"/>
      <c r="B26" s="661" t="str">
        <f>IF(OR(B8=K3,B8=K4),P6,"")</f>
        <v/>
      </c>
      <c r="C26" s="705"/>
      <c r="D26" s="195" t="str">
        <f>IF(B26="","",IF(C26&gt;1,"días","día"))</f>
        <v/>
      </c>
      <c r="E26" s="64" t="str">
        <f>IF(B26=P6,R6,"")</f>
        <v/>
      </c>
      <c r="F26" s="131" t="str">
        <f>IF(B26="","","€/día")</f>
        <v/>
      </c>
      <c r="G26" s="208" t="str">
        <f>IF(B26="","",C26*E26)</f>
        <v/>
      </c>
      <c r="H26" s="10"/>
      <c r="I26" s="132"/>
      <c r="J26" s="275"/>
      <c r="K26" s="276"/>
      <c r="L26" s="276"/>
      <c r="M26" s="276"/>
      <c r="N26" s="276"/>
      <c r="O26" s="276"/>
      <c r="P26" s="277" t="s">
        <v>151</v>
      </c>
      <c r="Q26" s="276"/>
      <c r="R26" s="276"/>
      <c r="S26" s="276"/>
      <c r="T26" s="276"/>
      <c r="U26" s="276"/>
      <c r="V26" s="276" t="s">
        <v>293</v>
      </c>
      <c r="W26" s="276" t="str">
        <f>IF(D33="ELIJA EL PAÍS          ▼","",D33)</f>
        <v/>
      </c>
      <c r="X26" s="358" t="str">
        <f>IF(C30="","",C30)</f>
        <v/>
      </c>
      <c r="Y26" s="358" t="str">
        <f>IF(C32="","",C32)</f>
        <v/>
      </c>
      <c r="AE26" s="276"/>
      <c r="AF26" s="276"/>
      <c r="AQ26" s="290" t="str">
        <f>W46</f>
        <v/>
      </c>
      <c r="AR26" s="369">
        <f>X55</f>
        <v>0</v>
      </c>
      <c r="CQ26" s="442" t="str">
        <f t="shared" si="15"/>
        <v/>
      </c>
      <c r="CR26" s="694" t="str">
        <f t="shared" si="16"/>
        <v/>
      </c>
      <c r="CS26" s="438" t="str">
        <f t="shared" si="17"/>
        <v/>
      </c>
      <c r="CT26" s="64" t="str">
        <f t="shared" si="18"/>
        <v/>
      </c>
      <c r="CU26" s="131" t="str">
        <f t="shared" si="19"/>
        <v/>
      </c>
      <c r="CV26" s="107" t="str">
        <f t="shared" si="20"/>
        <v/>
      </c>
      <c r="CW26" s="10"/>
    </row>
    <row r="27" spans="1:103" ht="15.6" x14ac:dyDescent="0.3">
      <c r="B27" s="1289" t="str">
        <f>IF(D90&lt;&gt;"","",IF(E91&lt;&gt;D9,"",IF(B8&lt;&gt;0,"Total de dietas en T. Nacional desglosado en manutención "&amp;TEXT((L27),"#.###,00 €")&amp;" alojamiento "&amp;TEXT(N27,"#.###,00 €"),"")))</f>
        <v/>
      </c>
      <c r="C27" s="1289"/>
      <c r="D27" s="1289"/>
      <c r="E27" s="1289"/>
      <c r="F27" s="1289"/>
      <c r="G27" s="1290" t="str">
        <f>IF(D90&lt;&gt;"","",IF(E91&lt;&gt;D9,"",IF(OR(H21="Falta indicar los días",H24="Falta indicar las noches",H25="Falta indicar las noches"),0,SUM(G20:G26))))</f>
        <v/>
      </c>
      <c r="H27" s="1149"/>
      <c r="I27" s="132"/>
      <c r="J27" s="275"/>
      <c r="K27" s="276" t="s">
        <v>245</v>
      </c>
      <c r="L27" s="279">
        <f>SUM(G23:G26)</f>
        <v>0</v>
      </c>
      <c r="M27" s="276" t="s">
        <v>188</v>
      </c>
      <c r="N27" s="279">
        <f>SUM(G20:G22)</f>
        <v>0</v>
      </c>
      <c r="O27" s="276"/>
      <c r="P27" s="276" t="str">
        <f>IF(B8&lt;&gt;0,"Total de dietas en T. Nacional desglosado en manutención "&amp;TEXT((L27),"#.###,00 €")&amp;" alojamiento "&amp;TEXT(N27,"#.###,00 €"),"")</f>
        <v>Total de dietas en T. Nacional desglosado en manutención ,00 € alojamiento ,00 €</v>
      </c>
      <c r="Q27" s="276"/>
      <c r="R27" s="276"/>
      <c r="S27" s="276"/>
      <c r="T27" s="276"/>
      <c r="U27" s="276"/>
      <c r="V27" s="276"/>
      <c r="W27" s="276" t="s">
        <v>188</v>
      </c>
      <c r="X27" s="376">
        <f>SUM(AC28:AC30)</f>
        <v>0</v>
      </c>
      <c r="AB27" s="276" t="s">
        <v>350</v>
      </c>
      <c r="AC27" s="276" t="s">
        <v>349</v>
      </c>
      <c r="AE27" s="276"/>
      <c r="AF27" s="276"/>
      <c r="AQ27" s="290" t="str">
        <f>W66</f>
        <v/>
      </c>
      <c r="AR27" s="369">
        <f>X75</f>
        <v>0</v>
      </c>
      <c r="CQ27" s="1232" t="str">
        <f>IF($B$94&lt;&gt;"","",B27)</f>
        <v/>
      </c>
      <c r="CR27" s="1232"/>
      <c r="CS27" s="1232"/>
      <c r="CT27" s="1232"/>
      <c r="CU27" s="1232"/>
      <c r="CV27" s="1349" t="str">
        <f>IF($B$94&lt;&gt;"","",G27)</f>
        <v/>
      </c>
      <c r="CW27" s="1021"/>
    </row>
    <row r="28" spans="1:103" x14ac:dyDescent="0.25">
      <c r="B28" s="20"/>
      <c r="C28" s="20"/>
      <c r="D28" s="62"/>
      <c r="E28" s="62"/>
      <c r="F28" s="62"/>
      <c r="G28" s="211"/>
      <c r="H28" s="12"/>
      <c r="I28" s="132"/>
      <c r="J28" s="275"/>
      <c r="K28" s="279" t="str">
        <f>IF(C28="","",IF(B22=K2,O5*C28,IF(B22=K3,R5*C28,IF(B22=K4,S5*C28,""))))</f>
        <v/>
      </c>
      <c r="L28" s="279" t="str">
        <f>IF(K28="","",G28-K28)</f>
        <v/>
      </c>
      <c r="M28" s="276"/>
      <c r="N28" s="276"/>
      <c r="O28" s="276"/>
      <c r="P28" s="276"/>
      <c r="Q28" s="276"/>
      <c r="R28" s="276"/>
      <c r="S28" s="276"/>
      <c r="T28" s="276"/>
      <c r="U28" s="276"/>
      <c r="V28" s="276" t="s">
        <v>152</v>
      </c>
      <c r="W28" s="324" t="str">
        <f>B34</f>
        <v>Alojamiento (según decreto)</v>
      </c>
      <c r="X28" s="370">
        <f>C34</f>
        <v>0</v>
      </c>
      <c r="Y28" s="324" t="str">
        <f>D34</f>
        <v>noche</v>
      </c>
      <c r="Z28" s="324" t="s">
        <v>259</v>
      </c>
      <c r="AA28" s="323" t="str">
        <f>E34</f>
        <v/>
      </c>
      <c r="AB28" s="324" t="str">
        <f>F34</f>
        <v>€/noche</v>
      </c>
      <c r="AC28" s="371" t="str">
        <f>G34</f>
        <v/>
      </c>
      <c r="AD28" s="1245" t="str">
        <f>IF(AC28&lt;&gt;0,$W$26&amp;"  "&amp;X28&amp;" "&amp;Y28&amp;" "&amp;Z28&amp;" "&amp;AA28&amp;$AB$27&amp;" "&amp;AC28&amp;AC27,"")</f>
        <v xml:space="preserve">  0 noche a €/N €;</v>
      </c>
      <c r="AE28" s="1047"/>
      <c r="AF28" s="1246"/>
      <c r="AG28" s="537" t="s">
        <v>383</v>
      </c>
      <c r="CQ28" s="60"/>
      <c r="CR28" s="60"/>
      <c r="CS28" s="518"/>
      <c r="CT28" s="518"/>
      <c r="CU28" s="518"/>
      <c r="CV28" s="519"/>
      <c r="CW28" s="12"/>
    </row>
    <row r="29" spans="1:103" ht="15.6" customHeight="1" x14ac:dyDescent="0.3">
      <c r="B29" s="92" t="s">
        <v>145</v>
      </c>
      <c r="C29" s="63"/>
      <c r="D29" s="167"/>
      <c r="E29" s="167"/>
      <c r="F29" s="1293" t="str">
        <f>IF(F88&lt;&gt;"","",IF(I29&lt;1,"",IF(I29="","",IF(AND(C33&lt;&gt;"",F88="",I29&gt;0,C30&lt;&gt;C32),"Días intermedios, manutención con pernoctación, según días con derecho a dietas",""))))</f>
        <v/>
      </c>
      <c r="G29" s="1293"/>
      <c r="H29" s="1293"/>
      <c r="I29" s="132"/>
      <c r="J29" s="275"/>
      <c r="K29" s="276"/>
      <c r="L29" s="276"/>
      <c r="M29" s="276"/>
      <c r="N29" s="276"/>
      <c r="O29" s="276"/>
      <c r="P29" s="276"/>
      <c r="Q29" s="276"/>
      <c r="R29" s="276"/>
      <c r="S29" s="276"/>
      <c r="T29" s="276"/>
      <c r="U29" s="276"/>
      <c r="V29" s="279" t="e">
        <f>X29*AA28</f>
        <v>#VALUE!</v>
      </c>
      <c r="W29" s="324" t="str">
        <f t="shared" ref="W29:W30" si="23">B35</f>
        <v>Alojamiento (según factura)</v>
      </c>
      <c r="X29" s="370">
        <f t="shared" ref="X29:X30" si="24">C35</f>
        <v>0</v>
      </c>
      <c r="Y29" s="324" t="str">
        <f t="shared" ref="Y29:Y30" si="25">D35</f>
        <v>noche</v>
      </c>
      <c r="Z29" s="324" t="s">
        <v>259</v>
      </c>
      <c r="AA29" s="323">
        <f t="shared" ref="AA29:AA30" si="26">E35</f>
        <v>0</v>
      </c>
      <c r="AB29" s="324" t="str">
        <f t="shared" ref="AB29:AB30" si="27">F35</f>
        <v>€/noche</v>
      </c>
      <c r="AC29" s="371">
        <f t="shared" ref="AC29:AC30" si="28">G35</f>
        <v>0</v>
      </c>
      <c r="AD29" s="1245" t="str">
        <f>IF(AC29&lt;&gt;0,$W$26&amp;"  "&amp;X29&amp;" "&amp;Y29&amp;" "&amp;Z29&amp;" "&amp;AA29&amp;AB27&amp;" "&amp;AC29&amp;AC27,"")</f>
        <v/>
      </c>
      <c r="AE29" s="1047"/>
      <c r="AF29" s="1047"/>
      <c r="AG29" s="537" t="s">
        <v>382</v>
      </c>
      <c r="AH29" s="539" t="s">
        <v>350</v>
      </c>
      <c r="AI29" s="1199" t="s">
        <v>384</v>
      </c>
      <c r="AJ29" s="1199"/>
      <c r="AK29" s="426" t="s">
        <v>378</v>
      </c>
      <c r="AL29" s="426" t="s">
        <v>378</v>
      </c>
      <c r="AM29" s="426" t="s">
        <v>379</v>
      </c>
      <c r="AN29" s="545">
        <v>0.21</v>
      </c>
      <c r="AO29" s="426" t="s">
        <v>380</v>
      </c>
      <c r="CQ29" s="520" t="str">
        <f>IF($B$94&lt;&gt;"","",B29)</f>
        <v/>
      </c>
      <c r="CR29" s="63"/>
      <c r="CS29" s="167"/>
      <c r="CT29" s="167"/>
      <c r="CU29" s="1350"/>
      <c r="CV29" s="1350"/>
      <c r="CW29" s="1350"/>
    </row>
    <row r="30" spans="1:103" ht="13.8" x14ac:dyDescent="0.25">
      <c r="B30" s="126" t="s">
        <v>514</v>
      </c>
      <c r="C30" s="123"/>
      <c r="D30" s="192" t="s">
        <v>165</v>
      </c>
      <c r="E30" s="125"/>
      <c r="F30" s="250" t="str">
        <f>IF(AND(C30&lt;&gt;"",E30=""),"Falta indicar la hora",IF(AND(C2=M1,C30=C32,C30&lt;&gt;"",E30&gt;P10,E32&lt;=P12),"No corresponde dietas",IF(AND(C2=M1,C30=C32,C30&lt;&gt;"",E30&lt;=P10,E32&gt;P12),"Manutención sin pernoctar",IF(AND(C2=M1,C30=C32,C30&lt;&gt;"",E30&gt;P10,E32&gt;P12),"1/2 Manutención",IF(AND(C2=M1,C30=C32,C30&lt;&gt;"",E30&lt;=P10,E32&lt;=P11),"No corresponde dietas",IF(AND(C2=M1,C30=C32,C30&lt;&gt;"",E30&lt;=P10,E32&gt;P11,E32&lt;=P12),"1/2 Manutención",IF(AND(C2=M1,C30&lt;&gt;C32,C30&lt;&gt;"",E30&lt;=P10),"Para el día de salida: salida , manutención pernoctando",IF(AND(C2=M1,C30&lt;&gt;C32,C30&lt;&gt;"",E30&gt;P12),"Para el día de salida: No corresponde manutención",IF(AND(C2=M1,C30&lt;&gt;C32,C30&lt;&gt;"",E30&gt;P10),"Para el día de salida: salida 1/2 manutención",IF(AND(C2=M2,C30&lt;&gt;"",C30=C32,E30&lt;=M9,E32&gt;M10,N37&gt;=N9),"Sólo le corresponde 1/2 manutención",IF(AND(C2=M2,C30&lt;&gt;"",C30&lt;&gt;C32,E30&lt;=M9),"Para el día de salida: Manute. Completa",IF(AND(C2=M2,C30&lt;&gt;"",C30&lt;&gt;C32,E30&gt;M9,E30&lt;=M11),"Para el día de salida:1/2 manutención",IF(AND(C2=M2,C30&lt;&gt;"",C30&lt;&gt;C32,E30&gt;=M11),"Para el día de salida no corresponde dieta",IF(AND(OR(E30&gt;=M9,E32&lt;=M10,N37&lt;N9),C2=M2,C30&lt;&gt;"",C30=C32),"No le corresponde dietas",""))))))))))))))</f>
        <v/>
      </c>
      <c r="G30" s="216"/>
      <c r="H30" s="216"/>
      <c r="I30" s="204"/>
      <c r="J30" s="275"/>
      <c r="K30" s="276"/>
      <c r="L30" s="276"/>
      <c r="M30" s="276"/>
      <c r="N30" s="276"/>
      <c r="O30" s="276"/>
      <c r="P30" s="276"/>
      <c r="Q30" s="276"/>
      <c r="R30" s="276"/>
      <c r="S30" s="276"/>
      <c r="T30" s="276"/>
      <c r="U30" s="276"/>
      <c r="V30" s="279" t="e">
        <f>X30*AA28</f>
        <v>#VALUE!</v>
      </c>
      <c r="W30" s="324" t="str">
        <f t="shared" si="23"/>
        <v>Alojamiento Pagos a Terceros</v>
      </c>
      <c r="X30" s="370">
        <f t="shared" si="24"/>
        <v>0</v>
      </c>
      <c r="Y30" s="324" t="str">
        <f t="shared" si="25"/>
        <v>noche</v>
      </c>
      <c r="Z30" s="324" t="s">
        <v>259</v>
      </c>
      <c r="AA30" s="323">
        <f t="shared" si="26"/>
        <v>0</v>
      </c>
      <c r="AB30" s="324" t="str">
        <f t="shared" si="27"/>
        <v>€/noche</v>
      </c>
      <c r="AC30" s="371">
        <f t="shared" si="28"/>
        <v>0</v>
      </c>
      <c r="AD30" s="373" t="str">
        <f>IF(AC30&lt;&gt;0,W30&amp;" "&amp;$W$26&amp;" "&amp;AC30&amp;AC27&amp;" "&amp;X30&amp;" "&amp;Y30&amp;" "&amp;Z30&amp;" "&amp;AA30&amp;AB27&amp;" "&amp;AC30&amp;AC27,"")</f>
        <v/>
      </c>
      <c r="AE30" s="374"/>
      <c r="AF30" s="374"/>
      <c r="AG30" s="540" t="e">
        <f>IF(AC29&gt;V29,V29,AC29)</f>
        <v>#VALUE!</v>
      </c>
      <c r="AH30" s="550" t="e">
        <f>IF(AG30=0,"",AG30/X29)</f>
        <v>#VALUE!</v>
      </c>
      <c r="AI30" s="537" t="s">
        <v>392</v>
      </c>
      <c r="AJ30" s="537" t="s">
        <v>350</v>
      </c>
      <c r="AK30" s="546">
        <v>0.1</v>
      </c>
      <c r="AL30" s="547">
        <v>0.1</v>
      </c>
      <c r="AM30" s="536"/>
      <c r="AN30" s="536"/>
      <c r="AO30" s="536"/>
      <c r="CQ30" s="192" t="str">
        <f>IF($B$94&lt;&gt;"","",B30)</f>
        <v/>
      </c>
      <c r="CR30" s="451" t="str">
        <f>IF(C30="","",IF($B$94&lt;&gt;"","",C30))</f>
        <v/>
      </c>
      <c r="CS30" s="192"/>
      <c r="CT30" s="452" t="str">
        <f>IF(E30="","",IF($B$94&lt;&gt;"","",E30))</f>
        <v/>
      </c>
      <c r="CU30" s="521" t="str">
        <f>IF($B$94&lt;&gt;"","",F30)</f>
        <v/>
      </c>
      <c r="CV30" s="521"/>
      <c r="CW30" s="521"/>
      <c r="CX30" s="131"/>
    </row>
    <row r="31" spans="1:103" s="183" customFormat="1" ht="13.8" x14ac:dyDescent="0.25">
      <c r="B31" s="192"/>
      <c r="C31" s="214"/>
      <c r="D31" s="133"/>
      <c r="E31" s="213"/>
      <c r="F31" s="1249" t="str">
        <f>IF(B8=K1,"",IF(K34&lt;1,"",IF(K34="","",IF(AND(C33&lt;&gt;"",K34&gt;0,C30&lt;&gt;C32),"Días intermedios, manutención completa según días con derecho a dietas",""))))</f>
        <v/>
      </c>
      <c r="G31" s="1249"/>
      <c r="H31" s="1249"/>
      <c r="I31" s="1249"/>
      <c r="J31" s="275"/>
      <c r="K31" s="276"/>
      <c r="L31" s="276"/>
      <c r="M31" s="276"/>
      <c r="N31" s="276"/>
      <c r="O31" s="276"/>
      <c r="P31" s="276"/>
      <c r="Q31" s="276"/>
      <c r="R31" s="276"/>
      <c r="S31" s="276"/>
      <c r="T31" s="276"/>
      <c r="U31" s="276"/>
      <c r="V31" s="276"/>
      <c r="W31" s="1058" t="str">
        <f>IF(AC28&lt;&gt;0,W28 &amp; " " &amp; X28 &amp;" " &amp; Y28&amp;" " &amp; Z28 &amp; " "&amp; AA28  &amp; " "&amp; AB28  &amp; " "&amp; AC28,"")</f>
        <v xml:space="preserve">Alojamiento (según decreto) 0 noche a  €/noche </v>
      </c>
      <c r="X31" s="1058"/>
      <c r="Y31" s="1058"/>
      <c r="Z31" s="1058"/>
      <c r="AA31" s="1058"/>
      <c r="AB31" s="1058"/>
      <c r="AC31" s="1058"/>
      <c r="AD31" s="395">
        <f>SUM(AC28:AC29)</f>
        <v>0</v>
      </c>
      <c r="AE31" s="396" t="s">
        <v>361</v>
      </c>
      <c r="AF31" s="396"/>
      <c r="AG31" s="540" t="e">
        <f>IF(AC30&gt;V30,V30,AC30)</f>
        <v>#VALUE!</v>
      </c>
      <c r="AH31" s="550" t="e">
        <f>IF(AG31=0,"",AG31/X30)</f>
        <v>#VALUE!</v>
      </c>
      <c r="AI31" s="548" t="e">
        <f>AM31*AK30*AN29+AM31</f>
        <v>#VALUE!</v>
      </c>
      <c r="AJ31" s="548" t="e">
        <f>IF(AI31=0,"",AI31/X29)</f>
        <v>#VALUE!</v>
      </c>
      <c r="AK31" s="537"/>
      <c r="AL31" s="536"/>
      <c r="AM31" s="399" t="e">
        <f>AO31/(1+AL30)</f>
        <v>#VALUE!</v>
      </c>
      <c r="AN31" s="536"/>
      <c r="AO31" s="399" t="e">
        <f>AG30</f>
        <v>#VALUE!</v>
      </c>
      <c r="AP31" s="290"/>
      <c r="AQ31" s="290"/>
      <c r="AR31" s="290"/>
      <c r="AS31" s="290"/>
      <c r="AT31" s="290"/>
      <c r="AU31" s="290"/>
      <c r="AV31" s="293"/>
      <c r="AW31" s="293"/>
      <c r="AX31" s="293"/>
      <c r="AY31" s="293"/>
      <c r="AZ31" s="293"/>
      <c r="BA31" s="293"/>
      <c r="BB31" s="293"/>
      <c r="BC31" s="293"/>
      <c r="BD31" s="293"/>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Q31" s="192"/>
      <c r="CR31" s="214"/>
      <c r="CS31" s="133"/>
      <c r="CT31" s="213"/>
      <c r="CU31" s="1234" t="str">
        <f>IF($B$94&lt;&gt;"","",F31)</f>
        <v/>
      </c>
      <c r="CV31" s="1234"/>
      <c r="CW31" s="1234"/>
      <c r="CX31" s="1234"/>
      <c r="CY31" s="435"/>
    </row>
    <row r="32" spans="1:103" ht="13.65" customHeight="1" x14ac:dyDescent="0.25">
      <c r="B32" s="127" t="s">
        <v>515</v>
      </c>
      <c r="C32" s="123"/>
      <c r="D32" s="192" t="s">
        <v>165</v>
      </c>
      <c r="E32" s="125"/>
      <c r="F32" s="1249" t="str">
        <f>IF(AND(C32&lt;&gt;"",E32=""),"Falta indicar la hora",IF(AND(C2=M1,E32&gt;P12,C30&lt;&gt;C32,E32&lt;&gt;""),"Para el día de regreso: manutención sin pernoctar",IF(AND(C2=M1,E32&gt;P11,E32&lt;=P12,C30&lt;&gt;C32),"Para el día de regreso:, 1/2 manutención",IF(AND(C2=M1,E32&lt;=P11,C30&lt;&gt;C32),"Para el días de regreso: No corresponde manutención",IF(AND(C2=M2,C32&lt;&gt;"",C30&lt;&gt;C32,E32&gt;M11),"Para el día de regreso: regreso posterior a las 22:00 H,",IF(AND(C2=M2,C32&lt;&gt;"",C30&lt;&gt;C32,E32&gt;M9),"Para el día de regreso: Regreso posterior a las 14:00 H 1/2 nanut.",IF(AND(C2=M2,C32&lt;&gt;"",C30&lt;&gt;C32,E32&lt;=M9),"Para el día de regreso no corresponde dieta","")))))))</f>
        <v/>
      </c>
      <c r="G32" s="1249"/>
      <c r="H32" s="1249"/>
      <c r="I32" s="205"/>
      <c r="J32" s="275"/>
      <c r="K32" s="276"/>
      <c r="L32" s="276"/>
      <c r="M32" s="276"/>
      <c r="N32" s="276"/>
      <c r="O32" s="276"/>
      <c r="P32" s="276"/>
      <c r="Q32" s="276"/>
      <c r="R32" s="276"/>
      <c r="S32" s="276"/>
      <c r="T32" s="276"/>
      <c r="U32" s="276"/>
      <c r="V32" s="276"/>
      <c r="W32" s="1058" t="str">
        <f t="shared" ref="W32:W33" si="29">IF(AC29&lt;&gt;0,W29 &amp; " " &amp; X29 &amp;" " &amp; Y29&amp;" " &amp; Z29 &amp; " "&amp; AA29  &amp; " "&amp; AB29  &amp; " "&amp; AC29,"")</f>
        <v/>
      </c>
      <c r="X32" s="1058"/>
      <c r="Y32" s="1058"/>
      <c r="Z32" s="1058"/>
      <c r="AA32" s="1058"/>
      <c r="AB32" s="1058"/>
      <c r="AC32" s="1058"/>
      <c r="AE32" s="276"/>
      <c r="AF32" s="276"/>
      <c r="AG32" s="539"/>
      <c r="AH32" s="539"/>
      <c r="AI32" s="548" t="e">
        <f>AM32*AK30*AN29+AM32</f>
        <v>#VALUE!</v>
      </c>
      <c r="AJ32" s="548" t="e">
        <f>IF(AI32=0,"",AI32/X30)</f>
        <v>#VALUE!</v>
      </c>
      <c r="AK32" s="537"/>
      <c r="AL32" s="536"/>
      <c r="AM32" s="399" t="e">
        <f>AO32/(1+AL30)</f>
        <v>#VALUE!</v>
      </c>
      <c r="AN32" s="536"/>
      <c r="AO32" s="399" t="e">
        <f>AG31</f>
        <v>#VALUE!</v>
      </c>
      <c r="CQ32" s="454" t="str">
        <f>IF($B$94&lt;&gt;"","",B32)</f>
        <v/>
      </c>
      <c r="CR32" s="451" t="str">
        <f>IF(C32="","",IF($B$94&lt;&gt;"","",C32))</f>
        <v/>
      </c>
      <c r="CS32" s="192"/>
      <c r="CT32" s="452" t="str">
        <f>IF(E32="","",IF($B$94&lt;&gt;"","",E32))</f>
        <v/>
      </c>
      <c r="CU32" s="1234" t="str">
        <f>IF($B$94&lt;&gt;"","",F32)</f>
        <v/>
      </c>
      <c r="CV32" s="1234"/>
      <c r="CW32" s="1234"/>
    </row>
    <row r="33" spans="2:103" ht="13.8" x14ac:dyDescent="0.25">
      <c r="B33" s="192" t="s">
        <v>171</v>
      </c>
      <c r="C33" s="129" t="str">
        <f>IF(OR(C30="",C32=""),"",(C32-C30+1))</f>
        <v/>
      </c>
      <c r="D33" s="1273" t="s">
        <v>162</v>
      </c>
      <c r="E33" s="1273"/>
      <c r="F33" s="1276" t="str">
        <f>IF(AND(C2=M2,C32&lt;&gt;"",C30&lt;&gt;C32,E32&gt;M11),"excepcionalmente manut. Completa, previa factura de la cena.","")</f>
        <v/>
      </c>
      <c r="G33" s="1276"/>
      <c r="H33" s="1276"/>
      <c r="I33" s="1276"/>
      <c r="J33" s="275"/>
      <c r="K33" s="276" t="s">
        <v>246</v>
      </c>
      <c r="L33" s="276"/>
      <c r="M33" s="708">
        <f>SUM(G34:G40)</f>
        <v>0</v>
      </c>
      <c r="N33" s="276"/>
      <c r="O33" s="276"/>
      <c r="P33" s="276"/>
      <c r="Q33" s="276"/>
      <c r="R33" s="276"/>
      <c r="S33" s="276"/>
      <c r="T33" s="276"/>
      <c r="U33" s="276"/>
      <c r="V33" s="276"/>
      <c r="W33" s="1058" t="str">
        <f t="shared" si="29"/>
        <v/>
      </c>
      <c r="X33" s="1058"/>
      <c r="Y33" s="1058"/>
      <c r="Z33" s="1058"/>
      <c r="AA33" s="1058"/>
      <c r="AB33" s="1058"/>
      <c r="AC33" s="1058"/>
      <c r="AE33" s="276"/>
      <c r="AF33" s="276"/>
      <c r="AG33" s="539"/>
      <c r="AH33" s="539"/>
      <c r="AI33" s="549" t="e">
        <f>IF(AH30="","",IF(AC29&lt;&gt;0,X29&amp;""&amp;Y29&amp;" "&amp;Z29&amp;" "&amp;AH30&amp;AB6&amp;" "&amp;AI31&amp;AC6,""))</f>
        <v>#VALUE!</v>
      </c>
      <c r="AJ33" s="537"/>
      <c r="AK33" s="537"/>
      <c r="AL33" s="536"/>
      <c r="AM33" s="536"/>
      <c r="AN33" s="536"/>
      <c r="AO33" s="536"/>
      <c r="CQ33" s="192" t="str">
        <f>IF($B$94&lt;&gt;"","",B33)</f>
        <v/>
      </c>
      <c r="CR33" s="440" t="str">
        <f>IF($B$94&lt;&gt;"","",C33)</f>
        <v/>
      </c>
      <c r="CS33" s="1235" t="str">
        <f>IF($B$94&lt;&gt;"","",D33)</f>
        <v/>
      </c>
      <c r="CT33" s="1235"/>
      <c r="CU33" s="1234"/>
      <c r="CV33" s="1234"/>
      <c r="CW33" s="1234"/>
      <c r="CX33" s="1234"/>
    </row>
    <row r="34" spans="2:103" ht="13.65" customHeight="1" x14ac:dyDescent="0.25">
      <c r="B34" s="659" t="s">
        <v>116</v>
      </c>
      <c r="C34" s="706"/>
      <c r="D34" s="109" t="str">
        <f>IF(C45&gt;1,"noches","noche")</f>
        <v>noche</v>
      </c>
      <c r="E34" s="58" t="str">
        <f>IF(C2=M1,VLOOKUP(D33,ANEXO!A2:C100,2,0),IF(C2=M2,VLOOKUP(D33,ANEXO!D2:G100,2,0),""))</f>
        <v/>
      </c>
      <c r="F34" s="131" t="s">
        <v>201</v>
      </c>
      <c r="G34" s="107" t="str">
        <f>IF(E34="","",C34*E34)</f>
        <v/>
      </c>
      <c r="H34" s="14"/>
      <c r="I34" s="132"/>
      <c r="J34" s="275"/>
      <c r="K34" s="276" t="str">
        <f>IF(C33="","",C33-2)</f>
        <v/>
      </c>
      <c r="L34" s="276" t="s">
        <v>252</v>
      </c>
      <c r="M34" s="276"/>
      <c r="N34" s="276"/>
      <c r="O34" s="276"/>
      <c r="P34" s="276"/>
      <c r="Q34" s="276"/>
      <c r="R34" s="276"/>
      <c r="S34" s="276"/>
      <c r="T34" s="276"/>
      <c r="U34" s="276"/>
      <c r="V34" s="276"/>
      <c r="W34" s="1058" t="str">
        <f>IF(X27&gt;0,"Total alojamiento en T. Extranjero:" &amp;" "&amp;W26 &amp;" "&amp;TEXT((X27),"#.###,00 €")&amp;" desglosado en:" &amp; W31 &amp;" " &amp;" " &amp; W32 &amp;" " &amp; W32,"")</f>
        <v/>
      </c>
      <c r="X34" s="1058"/>
      <c r="Y34" s="1058"/>
      <c r="Z34" s="1058"/>
      <c r="AA34" s="1058"/>
      <c r="AB34" s="1058"/>
      <c r="AC34" s="1058"/>
      <c r="AD34" s="1058"/>
      <c r="AE34" s="1058"/>
      <c r="AF34" s="276"/>
      <c r="AG34" s="539"/>
      <c r="AH34" s="539"/>
      <c r="AI34" s="549" t="e">
        <f>IF(AH31="","",IF(AC30&lt;&gt;0,X30&amp;""&amp;Y30&amp;" "&amp;Z30&amp;" "&amp;AJ32&amp;AB6&amp;" "&amp;AI32&amp;AC6,""))</f>
        <v>#VALUE!</v>
      </c>
      <c r="AJ34" s="537"/>
      <c r="AK34" s="537"/>
      <c r="AL34" s="536"/>
      <c r="AM34" s="536"/>
      <c r="AN34" s="536"/>
      <c r="AO34" s="536"/>
      <c r="CQ34" s="442" t="str">
        <f>IF($B$94&lt;&gt;"","",B34)</f>
        <v/>
      </c>
      <c r="CR34" s="455" t="str">
        <f>IF(C34="","",IF($B$94&lt;&gt;"","",C34))</f>
        <v/>
      </c>
      <c r="CS34" s="109" t="str">
        <f>IF($B$94&lt;&gt;"","",D34)</f>
        <v/>
      </c>
      <c r="CT34" s="58" t="str">
        <f>IF($B$94&lt;&gt;"","",E34)</f>
        <v/>
      </c>
      <c r="CU34" s="131" t="str">
        <f>IF($B$94&lt;&gt;"","",F34)</f>
        <v/>
      </c>
      <c r="CV34" s="107" t="str">
        <f>IF($B$94&lt;&gt;"","",G34)</f>
        <v/>
      </c>
      <c r="CW34" s="14"/>
    </row>
    <row r="35" spans="2:103" ht="13.8" x14ac:dyDescent="0.25">
      <c r="B35" s="659" t="s">
        <v>105</v>
      </c>
      <c r="C35" s="706"/>
      <c r="D35" s="109" t="str">
        <f t="shared" ref="D35:D36" si="30">IF(C46&gt;1,"noches","noche")</f>
        <v>noche</v>
      </c>
      <c r="E35" s="64">
        <f>IF(C35="",0,G35/C35)</f>
        <v>0</v>
      </c>
      <c r="F35" s="131" t="s">
        <v>201</v>
      </c>
      <c r="G35" s="174">
        <v>0</v>
      </c>
      <c r="H35" s="1275" t="str">
        <f>IF(AND(C35="",G35&gt;0),"Falta indicar las noches",IF(AND(L36&gt;0,G35&gt;K36),"Supera al Decreto en"&amp;TEXT((L36)," #.###,00 €"),""))</f>
        <v/>
      </c>
      <c r="I35" s="1275"/>
      <c r="J35" s="275"/>
      <c r="K35" s="276" t="s">
        <v>245</v>
      </c>
      <c r="L35" s="279">
        <f>SUM(G37:G40)</f>
        <v>0</v>
      </c>
      <c r="M35" s="276" t="s">
        <v>188</v>
      </c>
      <c r="N35" s="285">
        <f>SUM(G34:G36)</f>
        <v>0</v>
      </c>
      <c r="O35" s="276"/>
      <c r="P35" s="276"/>
      <c r="Q35" s="276"/>
      <c r="R35" s="276"/>
      <c r="S35" s="276"/>
      <c r="T35" s="276"/>
      <c r="U35" s="276"/>
      <c r="V35" s="276"/>
      <c r="W35" s="324" t="s">
        <v>245</v>
      </c>
      <c r="X35" s="400">
        <f>SUM(AC36:AC39)</f>
        <v>0</v>
      </c>
      <c r="Y35" s="324"/>
      <c r="Z35" s="324"/>
      <c r="AA35" s="324" t="s">
        <v>367</v>
      </c>
      <c r="AB35" s="324" t="s">
        <v>353</v>
      </c>
      <c r="AC35" s="378" t="s">
        <v>349</v>
      </c>
      <c r="AE35" s="276"/>
      <c r="AF35" s="276"/>
      <c r="AI35" s="539" t="e">
        <f>W26&amp;" "&amp;AI33</f>
        <v>#VALUE!</v>
      </c>
      <c r="CQ35" s="442" t="str">
        <f t="shared" ref="CQ35:CQ40" si="31">IF($B$94&lt;&gt;"","",B35)</f>
        <v/>
      </c>
      <c r="CR35" s="455" t="str">
        <f t="shared" ref="CR35:CR40" si="32">IF(C35="","",IF($B$94&lt;&gt;"","",C35))</f>
        <v/>
      </c>
      <c r="CS35" s="109" t="str">
        <f t="shared" ref="CS35:CS40" si="33">IF($B$94&lt;&gt;"","",D35)</f>
        <v/>
      </c>
      <c r="CT35" s="58" t="str">
        <f t="shared" ref="CT35:CT40" si="34">IF($B$94&lt;&gt;"","",E35)</f>
        <v/>
      </c>
      <c r="CU35" s="131" t="str">
        <f t="shared" ref="CU35:CU40" si="35">IF($B$94&lt;&gt;"","",F35)</f>
        <v/>
      </c>
      <c r="CV35" s="107" t="str">
        <f t="shared" ref="CV35:CV40" si="36">IF($B$94&lt;&gt;"","",G35)</f>
        <v/>
      </c>
      <c r="CW35" s="1007" t="str">
        <f>IF($B$94&lt;&gt;"","",H35)</f>
        <v/>
      </c>
      <c r="CX35" s="1007"/>
    </row>
    <row r="36" spans="2:103" ht="13.8" x14ac:dyDescent="0.25">
      <c r="B36" s="660" t="s">
        <v>284</v>
      </c>
      <c r="C36" s="704"/>
      <c r="D36" s="109" t="str">
        <f t="shared" si="30"/>
        <v>noche</v>
      </c>
      <c r="E36" s="218">
        <f>IF(C36="",0,G36/C36)</f>
        <v>0</v>
      </c>
      <c r="F36" s="131" t="s">
        <v>201</v>
      </c>
      <c r="G36" s="152">
        <v>0</v>
      </c>
      <c r="H36" s="1275" t="str">
        <f>IF(AND(C36="",G36&gt;0),"Falta indicar las noches",IF(AND(L37&gt;0,G36&gt;K37),"Supera al Decreto en"&amp;TEXT((L37)," #.###,00 €"),M22))</f>
        <v>Pagos a Terceros</v>
      </c>
      <c r="I36" s="1275"/>
      <c r="J36" s="275"/>
      <c r="K36" s="279" t="str">
        <f>IF(E34="","",C35*E34)</f>
        <v/>
      </c>
      <c r="L36" s="279" t="str">
        <f>IF(K36="","",G35-K36)</f>
        <v/>
      </c>
      <c r="M36" s="276" t="s">
        <v>188</v>
      </c>
      <c r="N36" s="276" t="s">
        <v>195</v>
      </c>
      <c r="O36" s="276"/>
      <c r="P36" s="276"/>
      <c r="Q36" s="276"/>
      <c r="R36" s="276"/>
      <c r="S36" s="276"/>
      <c r="T36" s="276"/>
      <c r="U36" s="276"/>
      <c r="V36" s="276"/>
      <c r="W36" s="324" t="str">
        <f>B37</f>
        <v>1/2 manutención</v>
      </c>
      <c r="X36" s="370">
        <f>C37</f>
        <v>0</v>
      </c>
      <c r="Y36" s="324" t="str">
        <f>D37</f>
        <v>día</v>
      </c>
      <c r="Z36" s="324" t="s">
        <v>259</v>
      </c>
      <c r="AA36" s="323" t="str">
        <f>E37</f>
        <v/>
      </c>
      <c r="AB36" s="324" t="str">
        <f>F37</f>
        <v>€/día</v>
      </c>
      <c r="AC36" s="323">
        <f>G37</f>
        <v>0</v>
      </c>
      <c r="AD36" s="276" t="str">
        <f>IF(AC36&lt;&gt;0,X36&amp;" "&amp;Y36&amp;" "&amp;$AA$35&amp;" "&amp;Z36&amp;" "&amp;AA36&amp;$AB$35&amp;" "&amp;AC36&amp;$AC$35,"")</f>
        <v/>
      </c>
      <c r="AE36" s="276"/>
      <c r="AF36" s="276"/>
      <c r="AI36" s="553" t="e">
        <f>IF(AI34="","",W26&amp;" "&amp;W30&amp;" "&amp;AI34)</f>
        <v>#VALUE!</v>
      </c>
      <c r="CQ36" s="442" t="str">
        <f t="shared" si="31"/>
        <v/>
      </c>
      <c r="CR36" s="455" t="str">
        <f t="shared" si="32"/>
        <v/>
      </c>
      <c r="CS36" s="109" t="str">
        <f t="shared" si="33"/>
        <v/>
      </c>
      <c r="CT36" s="58" t="str">
        <f t="shared" si="34"/>
        <v/>
      </c>
      <c r="CU36" s="131" t="str">
        <f t="shared" si="35"/>
        <v/>
      </c>
      <c r="CV36" s="107" t="str">
        <f t="shared" si="36"/>
        <v/>
      </c>
      <c r="CW36" s="1007" t="str">
        <f>IF($B$94&lt;&gt;"","",H36)</f>
        <v/>
      </c>
      <c r="CX36" s="1007"/>
    </row>
    <row r="37" spans="2:103" ht="13.8" x14ac:dyDescent="0.25">
      <c r="B37" s="661" t="s">
        <v>0</v>
      </c>
      <c r="C37" s="706"/>
      <c r="D37" s="109" t="str">
        <f>IF(C48&gt;1,"días","día")</f>
        <v>día</v>
      </c>
      <c r="E37" s="64" t="str">
        <f>IF(C2=M1,S9,IF(C2=M2,VLOOKUP(D33,ANEXO!D2:G100,4,0),""))</f>
        <v/>
      </c>
      <c r="F37" s="131" t="s">
        <v>200</v>
      </c>
      <c r="G37" s="108">
        <f>IF(AND(C37&gt;0,B8=K1),0,IF(C37="",0,C37*E37))</f>
        <v>0</v>
      </c>
      <c r="H37" s="1159" t="s">
        <v>523</v>
      </c>
      <c r="I37" s="1159"/>
      <c r="J37" s="275"/>
      <c r="K37" s="279" t="str">
        <f>IF(E34="","",C36*E34)</f>
        <v/>
      </c>
      <c r="L37" s="279" t="str">
        <f>IF(K37="","",G36-K37)</f>
        <v/>
      </c>
      <c r="M37" s="276" t="s">
        <v>188</v>
      </c>
      <c r="N37" s="289">
        <f>E32-E30</f>
        <v>0</v>
      </c>
      <c r="O37" s="276"/>
      <c r="P37" s="276"/>
      <c r="Q37" s="276"/>
      <c r="R37" s="276"/>
      <c r="S37" s="276"/>
      <c r="T37" s="276"/>
      <c r="U37" s="276"/>
      <c r="V37" s="276"/>
      <c r="W37" s="324" t="str">
        <f t="shared" ref="W37:W39" si="37">B38</f>
        <v/>
      </c>
      <c r="X37" s="370">
        <f t="shared" ref="X37:X39" si="38">C38</f>
        <v>0</v>
      </c>
      <c r="Y37" s="324" t="str">
        <f t="shared" ref="Y37:Y39" si="39">D38</f>
        <v>día</v>
      </c>
      <c r="Z37" s="324" t="s">
        <v>259</v>
      </c>
      <c r="AA37" s="323">
        <f t="shared" ref="AA37:AA39" si="40">E38</f>
        <v>0</v>
      </c>
      <c r="AB37" s="324" t="str">
        <f t="shared" ref="AB37:AB39" si="41">F38</f>
        <v>€/día</v>
      </c>
      <c r="AC37" s="323" t="str">
        <f t="shared" ref="AC37:AC39" si="42">G38</f>
        <v/>
      </c>
      <c r="AD37" s="276" t="str">
        <f>IF(AC37&lt;&gt;0,X37&amp;" "&amp;Y37&amp;"  "&amp;Z37&amp;" "&amp;AA37&amp;$AB$35&amp;" "&amp;AC37&amp;$AC$35,"")</f>
        <v>0 día  a 0€/D €;</v>
      </c>
      <c r="AE37" s="276"/>
      <c r="AF37" s="276"/>
      <c r="CQ37" s="442" t="str">
        <f t="shared" si="31"/>
        <v/>
      </c>
      <c r="CR37" s="455" t="str">
        <f t="shared" si="32"/>
        <v/>
      </c>
      <c r="CS37" s="109" t="str">
        <f t="shared" si="33"/>
        <v/>
      </c>
      <c r="CT37" s="58" t="str">
        <f t="shared" si="34"/>
        <v/>
      </c>
      <c r="CU37" s="131" t="str">
        <f t="shared" si="35"/>
        <v/>
      </c>
      <c r="CV37" s="107" t="str">
        <f t="shared" si="36"/>
        <v/>
      </c>
      <c r="CW37" s="379"/>
    </row>
    <row r="38" spans="2:103" ht="13.8" x14ac:dyDescent="0.25">
      <c r="B38" s="662" t="str">
        <f>IF(B8=K2,M5,IF(B8=K3,P5,IF(B8=K4,P5,"")))</f>
        <v/>
      </c>
      <c r="C38" s="706"/>
      <c r="D38" s="109" t="str">
        <f t="shared" ref="D38:D39" si="43">IF(C49&gt;1,"días","día")</f>
        <v>día</v>
      </c>
      <c r="E38" s="64">
        <f>IF(B38=M5,VLOOKUP(D33,ANEXO!D2:G100,3,0),VLOOKUP(D33,ANEXO!A2:C100,3,0))</f>
        <v>0</v>
      </c>
      <c r="F38" s="131" t="s">
        <v>200</v>
      </c>
      <c r="G38" s="108" t="str">
        <f>IF(B38="","",C38*E38)</f>
        <v/>
      </c>
      <c r="H38" s="146"/>
      <c r="I38" s="132"/>
      <c r="J38" s="275"/>
      <c r="K38" s="276" t="s">
        <v>152</v>
      </c>
      <c r="L38" s="276" t="s">
        <v>153</v>
      </c>
      <c r="M38" s="276"/>
      <c r="N38" s="276"/>
      <c r="O38" s="276"/>
      <c r="P38" s="276"/>
      <c r="Q38" s="276"/>
      <c r="R38" s="276"/>
      <c r="S38" s="276"/>
      <c r="T38" s="276"/>
      <c r="U38" s="276"/>
      <c r="V38" s="276"/>
      <c r="W38" s="324" t="str">
        <f t="shared" si="37"/>
        <v>Manutención (según factura/Ticket)</v>
      </c>
      <c r="X38" s="370">
        <f t="shared" si="38"/>
        <v>0</v>
      </c>
      <c r="Y38" s="324" t="str">
        <f t="shared" si="39"/>
        <v>día</v>
      </c>
      <c r="Z38" s="324" t="s">
        <v>259</v>
      </c>
      <c r="AA38" s="323">
        <f t="shared" si="40"/>
        <v>0</v>
      </c>
      <c r="AB38" s="324" t="str">
        <f t="shared" si="41"/>
        <v>€/día</v>
      </c>
      <c r="AC38" s="323">
        <f t="shared" si="42"/>
        <v>0</v>
      </c>
      <c r="AD38" s="276" t="str">
        <f>IF(AC38&lt;&gt;0,X38&amp;" "&amp;Y38&amp;"  "&amp;Z38&amp;" "&amp;AA38&amp;$AB$35&amp;" "&amp;AC38&amp;$AC$35,"")</f>
        <v/>
      </c>
      <c r="AE38" s="276"/>
      <c r="AF38" s="276"/>
      <c r="CQ38" s="442" t="str">
        <f t="shared" si="31"/>
        <v/>
      </c>
      <c r="CR38" s="455" t="str">
        <f t="shared" si="32"/>
        <v/>
      </c>
      <c r="CS38" s="109" t="str">
        <f t="shared" si="33"/>
        <v/>
      </c>
      <c r="CT38" s="58" t="str">
        <f t="shared" si="34"/>
        <v/>
      </c>
      <c r="CU38" s="131" t="str">
        <f t="shared" si="35"/>
        <v/>
      </c>
      <c r="CV38" s="107" t="str">
        <f t="shared" si="36"/>
        <v/>
      </c>
      <c r="CW38" s="522"/>
    </row>
    <row r="39" spans="2:103" ht="13.8" x14ac:dyDescent="0.25">
      <c r="B39" s="661" t="s">
        <v>122</v>
      </c>
      <c r="C39" s="706"/>
      <c r="D39" s="109" t="str">
        <f t="shared" si="43"/>
        <v>día</v>
      </c>
      <c r="E39" s="64">
        <f>IF(C39="",0,G39/C39)</f>
        <v>0</v>
      </c>
      <c r="F39" s="131" t="s">
        <v>200</v>
      </c>
      <c r="G39" s="106">
        <v>0</v>
      </c>
      <c r="H39" s="1276" t="str">
        <f>IF(AND(C39="",G39&gt;0),"Falta indicar los días",IF(AND(L39&gt;0,G39&gt;K39),"Supera al Decreto en"&amp;TEXT((L39)," #.###,00 €"),""))</f>
        <v/>
      </c>
      <c r="I39" s="1276"/>
      <c r="J39" s="275"/>
      <c r="K39" s="288">
        <f>IF(E38="","",C39*E38)</f>
        <v>0</v>
      </c>
      <c r="L39" s="285">
        <f>IF(K39="","",G39-K39)</f>
        <v>0</v>
      </c>
      <c r="M39" s="276" t="s">
        <v>253</v>
      </c>
      <c r="N39" s="276"/>
      <c r="O39" s="276"/>
      <c r="P39" s="276"/>
      <c r="Q39" s="276"/>
      <c r="R39" s="276"/>
      <c r="S39" s="276"/>
      <c r="T39" s="276"/>
      <c r="U39" s="276"/>
      <c r="V39" s="276"/>
      <c r="W39" s="324" t="str">
        <f t="shared" si="37"/>
        <v/>
      </c>
      <c r="X39" s="370">
        <f t="shared" si="38"/>
        <v>0</v>
      </c>
      <c r="Y39" s="324" t="str">
        <f t="shared" si="39"/>
        <v/>
      </c>
      <c r="Z39" s="324" t="s">
        <v>259</v>
      </c>
      <c r="AA39" s="323" t="str">
        <f t="shared" si="40"/>
        <v/>
      </c>
      <c r="AB39" s="324" t="str">
        <f t="shared" si="41"/>
        <v/>
      </c>
      <c r="AC39" s="323" t="str">
        <f t="shared" si="42"/>
        <v/>
      </c>
      <c r="AD39" s="276" t="str">
        <f>IF(AC39&lt;&gt;"",X39&amp;" "&amp;Y39&amp;"  "&amp;Z39&amp;" "&amp;AA39&amp;$AB$35&amp;" "&amp;AC39&amp;$AC$35,"")</f>
        <v/>
      </c>
      <c r="AE39" s="276"/>
      <c r="AF39" s="276"/>
      <c r="CQ39" s="442" t="str">
        <f t="shared" si="31"/>
        <v/>
      </c>
      <c r="CR39" s="455" t="str">
        <f t="shared" si="32"/>
        <v/>
      </c>
      <c r="CS39" s="109" t="str">
        <f t="shared" si="33"/>
        <v/>
      </c>
      <c r="CT39" s="58" t="str">
        <f t="shared" si="34"/>
        <v/>
      </c>
      <c r="CU39" s="131" t="str">
        <f t="shared" si="35"/>
        <v/>
      </c>
      <c r="CV39" s="107" t="str">
        <f t="shared" si="36"/>
        <v/>
      </c>
      <c r="CW39" s="1234" t="str">
        <f>IF($B$94&lt;&gt;"","",H39)</f>
        <v/>
      </c>
      <c r="CX39" s="1234"/>
    </row>
    <row r="40" spans="2:103" s="196" customFormat="1" ht="13.8" x14ac:dyDescent="0.25">
      <c r="B40" s="661" t="str">
        <f>IF(OR(B8=K3,B8=K4),P6,"")</f>
        <v/>
      </c>
      <c r="C40" s="704"/>
      <c r="D40" s="130" t="str">
        <f>IF(B40="","",IF(C40&gt;1,"días","día"))</f>
        <v/>
      </c>
      <c r="E40" s="50" t="str">
        <f>IF(B40="","",26.67)</f>
        <v/>
      </c>
      <c r="F40" s="695" t="str">
        <f>IF(B40="","","€/día")</f>
        <v/>
      </c>
      <c r="G40" s="58" t="str">
        <f>IF(B40="","",C40*E40)</f>
        <v/>
      </c>
      <c r="H40" s="12"/>
      <c r="I40" s="132"/>
      <c r="J40" s="275"/>
      <c r="K40" s="288"/>
      <c r="L40" s="285"/>
      <c r="M40" s="276"/>
      <c r="N40" s="276"/>
      <c r="O40" s="276"/>
      <c r="P40" s="276"/>
      <c r="Q40" s="276"/>
      <c r="R40" s="276"/>
      <c r="S40" s="276"/>
      <c r="T40" s="276"/>
      <c r="U40" s="276"/>
      <c r="V40" s="276"/>
      <c r="W40" s="1260" t="str">
        <f>IF(AC36&lt;&gt;0,W36 &amp; " " &amp; X36 &amp;" " &amp; Y36 &amp;" " &amp; Z36 &amp; " "&amp; AA36  &amp; " "&amp; AB36  &amp; " "&amp; AC36,"")</f>
        <v/>
      </c>
      <c r="X40" s="1260"/>
      <c r="Y40" s="1260"/>
      <c r="Z40" s="1260"/>
      <c r="AA40" s="1260"/>
      <c r="AB40" s="1260"/>
      <c r="AC40" s="1260"/>
      <c r="AD40" s="316" t="str">
        <f>IF(X35&gt;0,"MANUT."&amp;W26&amp;" "&amp;X35&amp;$AC$35&amp;" "&amp;AD36&amp;" "&amp;AD37&amp;" "&amp;AD38&amp;" "&amp;AD39,"")</f>
        <v/>
      </c>
      <c r="AE40" s="316"/>
      <c r="AF40" s="276"/>
      <c r="AG40" s="290"/>
      <c r="AH40" s="290"/>
      <c r="AI40" s="290"/>
      <c r="AJ40" s="290"/>
      <c r="AK40" s="290"/>
      <c r="AL40" s="290"/>
      <c r="AM40" s="290"/>
      <c r="AN40" s="290"/>
      <c r="AO40" s="290"/>
      <c r="AP40" s="290"/>
      <c r="AQ40" s="290"/>
      <c r="AR40" s="290"/>
      <c r="AS40" s="290"/>
      <c r="AT40" s="290"/>
      <c r="AU40" s="290"/>
      <c r="AV40" s="293"/>
      <c r="AW40" s="293"/>
      <c r="AX40" s="293"/>
      <c r="AY40" s="293"/>
      <c r="AZ40" s="293"/>
      <c r="BA40" s="293"/>
      <c r="BB40" s="293"/>
      <c r="BC40" s="293"/>
      <c r="BD40" s="293"/>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Q40" s="442" t="str">
        <f t="shared" si="31"/>
        <v/>
      </c>
      <c r="CR40" s="455" t="str">
        <f t="shared" si="32"/>
        <v/>
      </c>
      <c r="CS40" s="688" t="str">
        <f t="shared" si="33"/>
        <v/>
      </c>
      <c r="CT40" s="41" t="str">
        <f t="shared" si="34"/>
        <v/>
      </c>
      <c r="CU40" s="131" t="str">
        <f t="shared" si="35"/>
        <v/>
      </c>
      <c r="CV40" s="107" t="str">
        <f t="shared" si="36"/>
        <v/>
      </c>
      <c r="CW40" s="12"/>
      <c r="CX40" s="19"/>
      <c r="CY40" s="435"/>
    </row>
    <row r="41" spans="2:103" ht="13.8" x14ac:dyDescent="0.25">
      <c r="B41" s="193" t="s">
        <v>510</v>
      </c>
      <c r="C41" s="123"/>
      <c r="D41" s="192" t="s">
        <v>165</v>
      </c>
      <c r="E41" s="125"/>
      <c r="F41" s="251" t="str">
        <f>IF(AND(C41&lt;&gt;"",E41=""),"Falta indicar la hora",IF(AND(C2=M1,C41=C43,C41&lt;&gt;"",E41&gt;P10,E43&lt;=P12),"No corresponde dietas",IF(AND(C2=M1,C41=C43,C41&lt;&gt;"",E41&lt;=P10,E43&gt;P12),"Manutención sin pernoctar",IF(AND(C2=M1,C41=C43,C41&lt;&gt;"",E41&gt;P10,E43&gt;P12),"1/2 Manutención",IF(AND(C2=M1,C41=C43,C41&lt;&gt;"",E41&lt;=P10,E43&lt;=P11),"No corresponde dietas",IF(AND(C2=M1,C41=C43,C41&lt;&gt;"",E41&lt;=P10,E43&gt;P11,E43&lt;=P12),"1/2 Manutención",IF(AND(C2=M1,C41&lt;&gt;C43,C41&lt;&gt;"",E41&lt;=P10),"Para el día de salida: salida , manutención pernoctando",IF(AND(C2=M1,C41&lt;&gt;C43,C41&lt;&gt;"",E41&gt;P12),"Para el día de salida: No corresponde manutención",IF(AND(C2=M1,C41&lt;&gt;C43,C41&lt;&gt;"",E41&gt;P10),"Para el día de salida: salida 1/2 manutención",IF(AND(C2=M2,C41&lt;&gt;"",C41=C43,E41&lt;=M9,E43&gt;M10,N37&gt;=N9),"Sólo le corresponde 1/2 manutención",IF(AND(C2=M2,C41&lt;&gt;"",C41&lt;&gt;C43,E41&lt;=M9),"Para el día de salida: Manute. Completa",IF(AND(C2=M2,C41&lt;&gt;"",C41&lt;&gt;C43,E41&gt;M9,E41&lt;=M11),"Para el día de salida:1/2 manutención",IF(AND(C2=M2,C41&lt;&gt;"",C41&lt;&gt;C43,E41&gt;=M11),"Para el día de salida no corresponde dieta",IF(AND(OR(E41&gt;=M9,E43&lt;=M10,N50&lt;N9),C2=M2,C41&lt;&gt;"",C41=C43),"No le corresponde dietas",""))))))))))))))</f>
        <v/>
      </c>
      <c r="G41" s="215"/>
      <c r="H41" s="215"/>
      <c r="I41" s="212"/>
      <c r="J41" s="275"/>
      <c r="K41" s="279"/>
      <c r="L41" s="285"/>
      <c r="M41" s="276"/>
      <c r="N41" s="276"/>
      <c r="O41" s="276"/>
      <c r="P41" s="276"/>
      <c r="Q41" s="276"/>
      <c r="R41" s="276"/>
      <c r="S41" s="276"/>
      <c r="T41" s="276"/>
      <c r="U41" s="276"/>
      <c r="V41" s="276"/>
      <c r="W41" s="1058" t="str">
        <f t="shared" ref="W41:W42" si="44">IF(AC37&lt;&gt;0,W37 &amp; " " &amp; X37 &amp;" " &amp; Y37 &amp;" " &amp; Z37 &amp; " "&amp; AA37  &amp; " "&amp; AB37  &amp; " "&amp; AC37,"")</f>
        <v xml:space="preserve"> 0 día a 0 €/día </v>
      </c>
      <c r="X41" s="1058"/>
      <c r="Y41" s="1058"/>
      <c r="Z41" s="1058"/>
      <c r="AA41" s="1058"/>
      <c r="AB41" s="1058"/>
      <c r="AC41" s="1058"/>
      <c r="AD41" s="316"/>
      <c r="AE41" s="316"/>
      <c r="AF41" s="276"/>
      <c r="CQ41" s="194" t="str">
        <f>IF($B$94&lt;&gt;"","",B41)</f>
        <v/>
      </c>
      <c r="CR41" s="451" t="str">
        <f>IF(C41="","",IF($B$94&lt;&gt;"","",C41))</f>
        <v/>
      </c>
      <c r="CS41" s="192"/>
      <c r="CT41" s="452" t="str">
        <f>IF(E41="","",IF($B$94&lt;&gt;"","",E41))</f>
        <v/>
      </c>
      <c r="CU41" s="165" t="str">
        <f>IF($B$94&lt;&gt;"","",F41)</f>
        <v/>
      </c>
      <c r="CV41" s="165"/>
      <c r="CW41" s="165"/>
      <c r="CX41" s="39"/>
    </row>
    <row r="42" spans="2:103" s="183" customFormat="1" ht="13.8" x14ac:dyDescent="0.25">
      <c r="B42" s="188"/>
      <c r="C42" s="214"/>
      <c r="D42" s="133"/>
      <c r="E42" s="213"/>
      <c r="F42" s="1249" t="str">
        <f>IF(B8=K1,"",IF(K47&lt;1,"",IF(K47="","",IF(AND(C44&lt;&gt;"",K47&gt;0,C41&lt;&gt;C43),"Días intermedios, manutención completa según días con derecho a dietas",""))))</f>
        <v/>
      </c>
      <c r="G42" s="1249"/>
      <c r="H42" s="1249"/>
      <c r="I42" s="1249"/>
      <c r="J42" s="275"/>
      <c r="K42" s="276"/>
      <c r="L42" s="276"/>
      <c r="M42" s="276"/>
      <c r="N42" s="276"/>
      <c r="O42" s="276"/>
      <c r="P42" s="276"/>
      <c r="Q42" s="276"/>
      <c r="R42" s="276"/>
      <c r="S42" s="276"/>
      <c r="T42" s="276"/>
      <c r="U42" s="276"/>
      <c r="V42" s="276"/>
      <c r="W42" s="1058" t="str">
        <f t="shared" si="44"/>
        <v/>
      </c>
      <c r="X42" s="1058"/>
      <c r="Y42" s="1058"/>
      <c r="Z42" s="1058"/>
      <c r="AA42" s="1058"/>
      <c r="AB42" s="1058"/>
      <c r="AC42" s="1058"/>
      <c r="AD42" s="316"/>
      <c r="AE42" s="316"/>
      <c r="AF42" s="276"/>
      <c r="AG42" s="290"/>
      <c r="AH42" s="290"/>
      <c r="AI42" s="290"/>
      <c r="AJ42" s="290"/>
      <c r="AK42" s="290"/>
      <c r="AL42" s="290"/>
      <c r="AM42" s="290"/>
      <c r="AN42" s="290"/>
      <c r="AO42" s="290"/>
      <c r="AP42" s="290"/>
      <c r="AQ42" s="290"/>
      <c r="AR42" s="290"/>
      <c r="AS42" s="290"/>
      <c r="AT42" s="290"/>
      <c r="AU42" s="290"/>
      <c r="AV42" s="293"/>
      <c r="AW42" s="293"/>
      <c r="AX42" s="293"/>
      <c r="AY42" s="293"/>
      <c r="AZ42" s="293"/>
      <c r="BA42" s="293"/>
      <c r="BB42" s="293"/>
      <c r="BC42" s="293"/>
      <c r="BD42" s="293"/>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Q42" s="188"/>
      <c r="CR42" s="214"/>
      <c r="CS42" s="133"/>
      <c r="CT42" s="213"/>
      <c r="CU42" s="1234" t="str">
        <f>IF($B$94&lt;&gt;"","",F42)</f>
        <v/>
      </c>
      <c r="CV42" s="1234"/>
      <c r="CW42" s="1234"/>
      <c r="CX42" s="1234"/>
      <c r="CY42" s="435"/>
    </row>
    <row r="43" spans="2:103" ht="13.8" x14ac:dyDescent="0.25">
      <c r="B43" s="127" t="s">
        <v>511</v>
      </c>
      <c r="C43" s="123"/>
      <c r="D43" s="192" t="s">
        <v>165</v>
      </c>
      <c r="E43" s="125"/>
      <c r="F43" s="250" t="str">
        <f>IF(AND(C43&lt;&gt;"",E43=""),"Falta indicar la hora",IF(AND(C2=M1,E43&gt;P12,C41&lt;&gt;C43,E43&lt;&gt;""),"Para el día de regreso: manutención sin pernoctar",IF(AND(C2=M1,E43&gt;P11,E43&lt;=P12,C41&lt;&gt;C43),"Para el día de regreso:, 1/2 manutención",IF(AND(C2=M1,E43&lt;=P11,C41&lt;&gt;C43),"Para el días de regreso: No corresponde manutención",IF(AND(C2=M2,C43&lt;&gt;"",C41&lt;&gt;C43,E43&gt;M11),"Para el día de regreso: regreso posterior a las 22:00 H,",IF(AND(C2=M2,C43&lt;&gt;"",C41&lt;&gt;C43,E43&gt;M9),"Para el día de regreso: Regreso posterior a las 14:00 H 1/2 nanut.",IF(AND(C2=M2,C43&lt;&gt;"",C41&lt;&gt;C43,E43&lt;=M9),"Para el día de regreso no corresponde dieta","")))))))</f>
        <v/>
      </c>
      <c r="G43" s="216"/>
      <c r="H43" s="216"/>
      <c r="I43" s="220"/>
      <c r="J43" s="275"/>
      <c r="K43" s="276"/>
      <c r="L43" s="276"/>
      <c r="M43" s="276"/>
      <c r="N43" s="276"/>
      <c r="O43" s="276"/>
      <c r="P43" s="276"/>
      <c r="Q43" s="276"/>
      <c r="R43" s="276"/>
      <c r="S43" s="276"/>
      <c r="T43" s="276"/>
      <c r="U43" s="276"/>
      <c r="V43" s="276"/>
      <c r="W43" s="1058" t="str">
        <f>IF(OR(AC39="",AC39=0),"",W39&amp;" "&amp;X39&amp;" "&amp;Y39&amp;" "&amp;Z39&amp;" "&amp;AA39&amp;" "&amp;AB39&amp;" "&amp;AC39)</f>
        <v/>
      </c>
      <c r="X43" s="1058"/>
      <c r="Y43" s="1058"/>
      <c r="Z43" s="1058"/>
      <c r="AA43" s="1058"/>
      <c r="AB43" s="1058"/>
      <c r="AC43" s="1058"/>
      <c r="AD43" s="1058"/>
      <c r="AE43" s="1058"/>
      <c r="AF43" s="276"/>
      <c r="CQ43" s="454" t="str">
        <f>IF($B$94&lt;&gt;"","",B43)</f>
        <v/>
      </c>
      <c r="CR43" s="451" t="str">
        <f>IF(C43="","",IF($B$94&lt;&gt;"","",C43))</f>
        <v/>
      </c>
      <c r="CS43" s="192"/>
      <c r="CT43" s="452" t="str">
        <f>IF(E43="","",IF($B$94&lt;&gt;"","",E43))</f>
        <v/>
      </c>
      <c r="CU43" s="521" t="str">
        <f>IF($B$94&lt;&gt;"","",F43)</f>
        <v/>
      </c>
      <c r="CV43" s="521"/>
      <c r="CW43" s="521"/>
      <c r="CX43" s="442"/>
    </row>
    <row r="44" spans="2:103" ht="13.8" x14ac:dyDescent="0.25">
      <c r="B44" s="192" t="s">
        <v>171</v>
      </c>
      <c r="C44" s="65" t="str">
        <f>IF(OR(C41="",C43=""),"",(C43-C41+1))</f>
        <v/>
      </c>
      <c r="D44" s="1273" t="s">
        <v>162</v>
      </c>
      <c r="E44" s="1273"/>
      <c r="F44" s="1249" t="str">
        <f>IF(AND(C2=M2,C43&lt;&gt;"",C41&lt;&gt;C43,E43&gt;M11),"excepcionalmente manut. Completa, previa factura de la cena.","")</f>
        <v/>
      </c>
      <c r="G44" s="1249"/>
      <c r="H44" s="1249"/>
      <c r="I44" s="1249"/>
      <c r="J44" s="275"/>
      <c r="K44" s="279"/>
      <c r="L44" s="279"/>
      <c r="M44" s="276"/>
      <c r="N44" s="276"/>
      <c r="O44" s="276"/>
      <c r="P44" s="276"/>
      <c r="Q44" s="276"/>
      <c r="R44" s="276"/>
      <c r="S44" s="276"/>
      <c r="T44" s="276"/>
      <c r="U44" s="279"/>
      <c r="V44" s="279"/>
      <c r="W44" s="276" t="str">
        <f>IF(X35&gt;0,"Total manutención en T. Extranjero:"&amp;" "&amp;W26&amp;" "&amp;TEXT((X35),"#.###,00 €")&amp;" desglosado en:"&amp;W40&amp;" "&amp;" "&amp;W41&amp;" "&amp;W42&amp;" "&amp;W43,"")</f>
        <v/>
      </c>
      <c r="AE44" s="276"/>
      <c r="AF44" s="276"/>
      <c r="CQ44" s="192" t="str">
        <f>IF($B$94&lt;&gt;"","",B44)</f>
        <v/>
      </c>
      <c r="CR44" s="65" t="str">
        <f>IF($B$94&lt;&gt;"","",C44)</f>
        <v/>
      </c>
      <c r="CS44" s="1235" t="str">
        <f>IF($B$94&lt;&gt;"","",D44)</f>
        <v/>
      </c>
      <c r="CT44" s="1235"/>
      <c r="CU44" s="1234"/>
      <c r="CV44" s="1234"/>
      <c r="CW44" s="1234"/>
      <c r="CX44" s="1234"/>
    </row>
    <row r="45" spans="2:103" ht="13.8" x14ac:dyDescent="0.25">
      <c r="B45" s="659" t="s">
        <v>116</v>
      </c>
      <c r="C45" s="706"/>
      <c r="D45" s="109" t="str">
        <f>IF(C45&gt;1,"noches","noche")</f>
        <v>noche</v>
      </c>
      <c r="E45" s="58" t="str">
        <f>IF(C2=M1,VLOOKUP(D44,ANEXO!A2:C100,2,0),IF(C2=M2,VLOOKUP(D44,ANEXO!D2:G100,2,0),""))</f>
        <v/>
      </c>
      <c r="F45" s="131" t="s">
        <v>201</v>
      </c>
      <c r="G45" s="107" t="str">
        <f>IF(E45="","",C45*E45)</f>
        <v/>
      </c>
      <c r="H45" s="14"/>
      <c r="I45" s="132"/>
      <c r="J45" s="275"/>
      <c r="K45" s="276"/>
      <c r="L45" s="276"/>
      <c r="M45" s="276"/>
      <c r="N45" s="276"/>
      <c r="O45" s="276"/>
      <c r="P45" s="276"/>
      <c r="Q45" s="276"/>
      <c r="R45" s="276"/>
      <c r="S45" s="276"/>
      <c r="T45" s="276"/>
      <c r="U45" s="276"/>
      <c r="V45" s="276"/>
      <c r="W45" s="276"/>
      <c r="X45" s="315" t="s">
        <v>296</v>
      </c>
      <c r="Y45" s="315" t="s">
        <v>297</v>
      </c>
      <c r="AE45" s="276"/>
      <c r="AF45" s="276"/>
      <c r="CQ45" s="442" t="str">
        <f>IF($B$94&lt;&gt;"","",B45)</f>
        <v/>
      </c>
      <c r="CR45" s="455" t="str">
        <f>IF(C45="","",IF($B$94&lt;&gt;"","",C45))</f>
        <v/>
      </c>
      <c r="CS45" s="109" t="str">
        <f>IF($B$94&lt;&gt;"","",D45)</f>
        <v/>
      </c>
      <c r="CT45" s="58" t="str">
        <f>IF($B$94&lt;&gt;"","",E45)</f>
        <v/>
      </c>
      <c r="CU45" s="131" t="str">
        <f>IF($B$94&lt;&gt;"","",F45)</f>
        <v/>
      </c>
      <c r="CV45" s="107" t="str">
        <f>IF($B$94&lt;&gt;"","",G45)</f>
        <v/>
      </c>
      <c r="CW45" s="14"/>
    </row>
    <row r="46" spans="2:103" ht="13.8" x14ac:dyDescent="0.25">
      <c r="B46" s="659" t="s">
        <v>105</v>
      </c>
      <c r="C46" s="706"/>
      <c r="D46" s="109" t="str">
        <f t="shared" ref="D46:D47" si="45">IF(C46&gt;1,"noches","noche")</f>
        <v>noche</v>
      </c>
      <c r="E46" s="64">
        <f>IF(C46="",0,G46/C46)</f>
        <v>0</v>
      </c>
      <c r="F46" s="131" t="s">
        <v>201</v>
      </c>
      <c r="G46" s="174">
        <v>0</v>
      </c>
      <c r="H46" s="1275" t="str">
        <f>IF(AND(C46="",G46&gt;0),"Falta indicar las noches",IF(AND(L49&gt;0,G46&gt;K49),"Supera al Decreto en"&amp;TEXT((L49)," #.###,00 €"),""))</f>
        <v/>
      </c>
      <c r="I46" s="1275"/>
      <c r="J46" s="275"/>
      <c r="K46" s="276" t="s">
        <v>247</v>
      </c>
      <c r="L46" s="276"/>
      <c r="M46" s="708">
        <f>SUM(G45:G51)</f>
        <v>0</v>
      </c>
      <c r="N46" s="276"/>
      <c r="O46" s="276"/>
      <c r="P46" s="276"/>
      <c r="Q46" s="276"/>
      <c r="R46" s="276"/>
      <c r="S46" s="276"/>
      <c r="T46" s="276"/>
      <c r="U46" s="276"/>
      <c r="V46" s="276" t="s">
        <v>294</v>
      </c>
      <c r="W46" s="276" t="str">
        <f>IF(D44="ELIJA EL PAÍS          ▼","",D44)</f>
        <v/>
      </c>
      <c r="X46" s="358" t="str">
        <f>IF(C41="","",C41)</f>
        <v/>
      </c>
      <c r="Y46" s="358" t="str">
        <f>IF(C43="","",C43)</f>
        <v/>
      </c>
      <c r="Z46" s="285">
        <f>X47+X55</f>
        <v>0</v>
      </c>
      <c r="AB46" s="276" t="s">
        <v>350</v>
      </c>
      <c r="AC46" s="276" t="s">
        <v>349</v>
      </c>
      <c r="AE46" s="276"/>
      <c r="AF46" s="276"/>
      <c r="AJ46" s="537" t="s">
        <v>383</v>
      </c>
      <c r="CQ46" s="442" t="str">
        <f t="shared" ref="CQ46:CQ51" si="46">IF($B$94&lt;&gt;"","",B46)</f>
        <v/>
      </c>
      <c r="CR46" s="455" t="str">
        <f t="shared" ref="CR46:CR51" si="47">IF(C46="","",IF($B$94&lt;&gt;"","",C46))</f>
        <v/>
      </c>
      <c r="CS46" s="109" t="str">
        <f t="shared" ref="CS46:CS51" si="48">IF($B$94&lt;&gt;"","",D46)</f>
        <v/>
      </c>
      <c r="CT46" s="58" t="str">
        <f t="shared" ref="CT46:CT51" si="49">IF($B$94&lt;&gt;"","",E46)</f>
        <v/>
      </c>
      <c r="CU46" s="131" t="str">
        <f t="shared" ref="CU46:CU51" si="50">IF($B$94&lt;&gt;"","",F46)</f>
        <v/>
      </c>
      <c r="CV46" s="107" t="str">
        <f t="shared" ref="CV46:CV51" si="51">IF($B$94&lt;&gt;"","",G46)</f>
        <v/>
      </c>
      <c r="CW46" s="1007" t="str">
        <f>IF($B$94&lt;&gt;"","",H46)</f>
        <v/>
      </c>
      <c r="CX46" s="1007"/>
    </row>
    <row r="47" spans="2:103" ht="13.8" x14ac:dyDescent="0.25">
      <c r="B47" s="660" t="s">
        <v>284</v>
      </c>
      <c r="C47" s="704"/>
      <c r="D47" s="109" t="str">
        <f t="shared" si="45"/>
        <v>noche</v>
      </c>
      <c r="E47" s="218">
        <f>IF(C47="",0,G47/C47)</f>
        <v>0</v>
      </c>
      <c r="F47" s="131" t="s">
        <v>201</v>
      </c>
      <c r="G47" s="152">
        <v>0</v>
      </c>
      <c r="H47" s="1275" t="str">
        <f>IF(AND(C47="",G47&gt;0),"Falta indicar las noches",IF(AND(L50&gt;0,G47&gt;K50),"Supera al Decreto en"&amp;TEXT((L50)," #.###,00 €"),M22))</f>
        <v>Pagos a Terceros</v>
      </c>
      <c r="I47" s="1275"/>
      <c r="J47" s="275"/>
      <c r="K47" s="276" t="str">
        <f>IF(C44="","",C44-2)</f>
        <v/>
      </c>
      <c r="L47" s="276" t="s">
        <v>252</v>
      </c>
      <c r="M47" s="276"/>
      <c r="N47" s="276"/>
      <c r="O47" s="276"/>
      <c r="P47" s="276"/>
      <c r="Q47" s="276"/>
      <c r="R47" s="276"/>
      <c r="S47" s="276"/>
      <c r="T47" s="276"/>
      <c r="U47" s="276"/>
      <c r="V47" s="276"/>
      <c r="W47" s="324" t="s">
        <v>188</v>
      </c>
      <c r="X47" s="377">
        <f>SUM(G45:G47)</f>
        <v>0</v>
      </c>
      <c r="Y47" s="324"/>
      <c r="Z47" s="324"/>
      <c r="AA47" s="324"/>
      <c r="AB47" s="324"/>
      <c r="AC47" s="324"/>
      <c r="AD47" s="347"/>
      <c r="AE47" s="347"/>
      <c r="AF47" s="347"/>
      <c r="AG47" s="375"/>
      <c r="AJ47" s="537" t="s">
        <v>382</v>
      </c>
      <c r="AK47" s="539" t="s">
        <v>350</v>
      </c>
      <c r="AL47" s="1199" t="s">
        <v>384</v>
      </c>
      <c r="AM47" s="1199"/>
      <c r="AN47" s="426" t="s">
        <v>378</v>
      </c>
      <c r="AO47" s="426" t="s">
        <v>378</v>
      </c>
      <c r="AP47" s="426" t="s">
        <v>379</v>
      </c>
      <c r="AQ47" s="545">
        <v>0.21</v>
      </c>
      <c r="AR47" s="426" t="s">
        <v>380</v>
      </c>
      <c r="CQ47" s="442" t="str">
        <f t="shared" si="46"/>
        <v/>
      </c>
      <c r="CR47" s="455" t="str">
        <f t="shared" si="47"/>
        <v/>
      </c>
      <c r="CS47" s="109" t="str">
        <f t="shared" si="48"/>
        <v/>
      </c>
      <c r="CT47" s="58" t="str">
        <f t="shared" si="49"/>
        <v/>
      </c>
      <c r="CU47" s="131" t="str">
        <f t="shared" si="50"/>
        <v/>
      </c>
      <c r="CV47" s="107" t="str">
        <f t="shared" si="51"/>
        <v/>
      </c>
      <c r="CW47" s="1007" t="str">
        <f>IF($B$94&lt;&gt;"","",H47)</f>
        <v/>
      </c>
      <c r="CX47" s="1007"/>
    </row>
    <row r="48" spans="2:103" ht="13.8" x14ac:dyDescent="0.25">
      <c r="B48" s="661" t="s">
        <v>0</v>
      </c>
      <c r="C48" s="706"/>
      <c r="D48" s="109" t="str">
        <f>IF(C48&gt;1,"días","día")</f>
        <v>día</v>
      </c>
      <c r="E48" s="64" t="str">
        <f>IF(C2=M1,S9,IF(C2=M2,VLOOKUP(D44,ANEXO!D2:G100,4,0),""))</f>
        <v/>
      </c>
      <c r="F48" s="131" t="s">
        <v>200</v>
      </c>
      <c r="G48" s="108">
        <f>IF(AND(C48&gt;0,B8=K1),0,IF(C48="",0,C48*E48))</f>
        <v>0</v>
      </c>
      <c r="H48" s="1159" t="s">
        <v>654</v>
      </c>
      <c r="I48" s="1159"/>
      <c r="J48" s="275"/>
      <c r="K48" s="276" t="s">
        <v>245</v>
      </c>
      <c r="L48" s="279">
        <f>G48:G51</f>
        <v>0</v>
      </c>
      <c r="M48" s="276" t="s">
        <v>188</v>
      </c>
      <c r="N48" s="285">
        <f>SUM(G45:G47)</f>
        <v>0</v>
      </c>
      <c r="O48" s="276"/>
      <c r="P48" s="276"/>
      <c r="Q48" s="276"/>
      <c r="R48" s="276"/>
      <c r="S48" s="276"/>
      <c r="T48" s="276"/>
      <c r="U48" s="276"/>
      <c r="V48" s="276" t="s">
        <v>152</v>
      </c>
      <c r="W48" s="324" t="str">
        <f>B45</f>
        <v>Alojamiento (según decreto)</v>
      </c>
      <c r="X48" s="370">
        <f>C45</f>
        <v>0</v>
      </c>
      <c r="Y48" s="323" t="str">
        <f>D45</f>
        <v>noche</v>
      </c>
      <c r="Z48" s="324" t="s">
        <v>259</v>
      </c>
      <c r="AA48" s="323" t="str">
        <f>E45</f>
        <v/>
      </c>
      <c r="AB48" s="324" t="str">
        <f>F45</f>
        <v>€/noche</v>
      </c>
      <c r="AC48" s="371" t="str">
        <f>G45</f>
        <v/>
      </c>
      <c r="AD48" s="347" t="str">
        <f>IF(AC48&lt;&gt;0,$W$46&amp;"  "&amp;X48&amp;" "&amp;Y48&amp;" "&amp;Z48&amp;" "&amp;AA48&amp;$AB$46&amp;" "&amp;AC48&amp;AC46,"")</f>
        <v xml:space="preserve">  0 noche a €/N €;</v>
      </c>
      <c r="AE48" s="347"/>
      <c r="AF48" s="347"/>
      <c r="AG48" s="375"/>
      <c r="AJ48" s="540" t="e">
        <f>IF(AC49&gt;V49,V49,AC49)</f>
        <v>#VALUE!</v>
      </c>
      <c r="AK48" s="550" t="e">
        <f>IF(AJ48=0,"",AJ48/X49)</f>
        <v>#VALUE!</v>
      </c>
      <c r="AL48" s="537" t="s">
        <v>392</v>
      </c>
      <c r="AM48" s="537" t="s">
        <v>350</v>
      </c>
      <c r="AN48" s="546">
        <v>0.1</v>
      </c>
      <c r="AO48" s="547">
        <v>0.1</v>
      </c>
      <c r="AP48" s="536"/>
      <c r="AQ48" s="536"/>
      <c r="AR48" s="536"/>
      <c r="CQ48" s="442" t="str">
        <f t="shared" si="46"/>
        <v/>
      </c>
      <c r="CR48" s="455" t="str">
        <f t="shared" si="47"/>
        <v/>
      </c>
      <c r="CS48" s="109" t="str">
        <f t="shared" si="48"/>
        <v/>
      </c>
      <c r="CT48" s="58" t="str">
        <f t="shared" si="49"/>
        <v/>
      </c>
      <c r="CU48" s="131" t="str">
        <f t="shared" si="50"/>
        <v/>
      </c>
      <c r="CV48" s="107" t="str">
        <f t="shared" si="51"/>
        <v/>
      </c>
      <c r="CW48" s="379"/>
    </row>
    <row r="49" spans="1:103" ht="13.8" x14ac:dyDescent="0.25">
      <c r="B49" s="662" t="str">
        <f>IF(B8=K2,M5,IF(B8=K3,P5,IF(B8=K4,P5,"")))</f>
        <v/>
      </c>
      <c r="C49" s="706"/>
      <c r="D49" s="109" t="str">
        <f t="shared" ref="D49:D50" si="52">IF(C49&gt;1,"días","día")</f>
        <v>día</v>
      </c>
      <c r="E49" s="64">
        <f>IF(B49=M5,VLOOKUP(D44,ANEXO!D2:G100,3,0),VLOOKUP(D44,ANEXO!A2:C100,3,0))</f>
        <v>0</v>
      </c>
      <c r="F49" s="131" t="s">
        <v>200</v>
      </c>
      <c r="G49" s="108" t="str">
        <f>IF(B49="","",C49*E49)</f>
        <v/>
      </c>
      <c r="H49" s="145"/>
      <c r="I49" s="132"/>
      <c r="J49" s="275"/>
      <c r="K49" s="279" t="str">
        <f>IF(E45="","",C46*E45)</f>
        <v/>
      </c>
      <c r="L49" s="279" t="str">
        <f>IF(K49="","",G46-K49)</f>
        <v/>
      </c>
      <c r="M49" s="276" t="s">
        <v>188</v>
      </c>
      <c r="N49" s="276" t="s">
        <v>195</v>
      </c>
      <c r="O49" s="276"/>
      <c r="P49" s="276"/>
      <c r="Q49" s="276"/>
      <c r="R49" s="276"/>
      <c r="S49" s="276"/>
      <c r="T49" s="276"/>
      <c r="U49" s="276"/>
      <c r="V49" s="279" t="e">
        <f>X49*AA48</f>
        <v>#VALUE!</v>
      </c>
      <c r="W49" s="324" t="str">
        <f t="shared" ref="W49:W50" si="53">B46</f>
        <v>Alojamiento (según factura)</v>
      </c>
      <c r="X49" s="370">
        <f>C46</f>
        <v>0</v>
      </c>
      <c r="Y49" s="323" t="str">
        <f t="shared" ref="Y49:Y50" si="54">D46</f>
        <v>noche</v>
      </c>
      <c r="Z49" s="324" t="s">
        <v>259</v>
      </c>
      <c r="AA49" s="323">
        <f t="shared" ref="AA49:AA50" si="55">E46</f>
        <v>0</v>
      </c>
      <c r="AB49" s="324" t="str">
        <f t="shared" ref="AB49:AB50" si="56">F46</f>
        <v>€/noche</v>
      </c>
      <c r="AC49" s="371">
        <f t="shared" ref="AC49:AC50" si="57">G46</f>
        <v>0</v>
      </c>
      <c r="AD49" s="347" t="str">
        <f>IF(AC49&lt;&gt;0,$W$46&amp;"  "&amp;X49&amp;" "&amp;Y49&amp;" "&amp;Z49&amp;" "&amp;AA48&amp;$AB$46&amp;" "&amp;AJ48&amp;AC46,"")</f>
        <v/>
      </c>
      <c r="AE49" s="347"/>
      <c r="AF49" s="347"/>
      <c r="AG49" s="375"/>
      <c r="AJ49" s="540" t="e">
        <f>IF(AC50&gt;V50,V50,AC50)</f>
        <v>#VALUE!</v>
      </c>
      <c r="AK49" s="550" t="e">
        <f>IF(AJ49=0,"",AJ49/X50)</f>
        <v>#VALUE!</v>
      </c>
      <c r="AL49" s="548" t="e">
        <f>AP49*AN48*AQ47+AP49</f>
        <v>#VALUE!</v>
      </c>
      <c r="AM49" s="548" t="e">
        <f>IF(AL49=0,"",AL49/X49)</f>
        <v>#VALUE!</v>
      </c>
      <c r="AN49" s="537"/>
      <c r="AO49" s="536"/>
      <c r="AP49" s="399" t="e">
        <f>AR49/(1+AO48)</f>
        <v>#VALUE!</v>
      </c>
      <c r="AQ49" s="536"/>
      <c r="AR49" s="399" t="e">
        <f>AJ48</f>
        <v>#VALUE!</v>
      </c>
      <c r="CQ49" s="442" t="str">
        <f t="shared" si="46"/>
        <v/>
      </c>
      <c r="CR49" s="455" t="str">
        <f t="shared" si="47"/>
        <v/>
      </c>
      <c r="CS49" s="109" t="str">
        <f t="shared" si="48"/>
        <v/>
      </c>
      <c r="CT49" s="58" t="str">
        <f t="shared" si="49"/>
        <v/>
      </c>
      <c r="CU49" s="131" t="str">
        <f t="shared" si="50"/>
        <v/>
      </c>
      <c r="CV49" s="107" t="str">
        <f t="shared" si="51"/>
        <v/>
      </c>
      <c r="CW49" s="379"/>
    </row>
    <row r="50" spans="1:103" s="196" customFormat="1" ht="13.8" x14ac:dyDescent="0.25">
      <c r="B50" s="661" t="s">
        <v>122</v>
      </c>
      <c r="C50" s="706"/>
      <c r="D50" s="109" t="str">
        <f t="shared" si="52"/>
        <v>día</v>
      </c>
      <c r="E50" s="64">
        <f>IF(C50="",0,G50/C50)</f>
        <v>0</v>
      </c>
      <c r="F50" s="131" t="s">
        <v>200</v>
      </c>
      <c r="G50" s="106">
        <v>0</v>
      </c>
      <c r="H50" s="1274" t="str">
        <f>IF(AND(C50="",G50&gt;0),"Falta indicar los días",IF(AND(L52&gt;0,G50&gt;K52),"Supera al Decreto en"&amp;TEXT((L52)," #.###,00 €"),""))</f>
        <v/>
      </c>
      <c r="I50" s="1274"/>
      <c r="J50" s="275"/>
      <c r="K50" s="279" t="str">
        <f>IF(E45="","",C47*E45)</f>
        <v/>
      </c>
      <c r="L50" s="279" t="str">
        <f>IF(K50="","",G47-K50)</f>
        <v/>
      </c>
      <c r="M50" s="276" t="s">
        <v>188</v>
      </c>
      <c r="N50" s="289">
        <f>E43-E41</f>
        <v>0</v>
      </c>
      <c r="O50" s="276"/>
      <c r="P50" s="276"/>
      <c r="Q50" s="276"/>
      <c r="R50" s="276"/>
      <c r="S50" s="276"/>
      <c r="T50" s="276"/>
      <c r="U50" s="276"/>
      <c r="V50" s="279" t="e">
        <f>X50*AA48</f>
        <v>#VALUE!</v>
      </c>
      <c r="W50" s="324" t="str">
        <f t="shared" si="53"/>
        <v>Alojamiento Pagos a Terceros</v>
      </c>
      <c r="X50" s="370">
        <f>C47</f>
        <v>0</v>
      </c>
      <c r="Y50" s="323" t="str">
        <f t="shared" si="54"/>
        <v>noche</v>
      </c>
      <c r="Z50" s="324" t="s">
        <v>259</v>
      </c>
      <c r="AA50" s="323">
        <f t="shared" si="55"/>
        <v>0</v>
      </c>
      <c r="AB50" s="324" t="str">
        <f t="shared" si="56"/>
        <v>€/noche</v>
      </c>
      <c r="AC50" s="371">
        <f t="shared" si="57"/>
        <v>0</v>
      </c>
      <c r="AD50" s="347" t="str">
        <f>IF(AC50&lt;&gt;0,W50&amp;"  "&amp;W46&amp;" "&amp;AC50&amp;$AC$46&amp;" "&amp;X50&amp;" "&amp;Y50&amp;" "&amp;Z50&amp;" "&amp;AA50&amp;$AB$46&amp;" "&amp;AC50&amp;AC46,"")</f>
        <v/>
      </c>
      <c r="AE50" s="347"/>
      <c r="AF50" s="347"/>
      <c r="AG50" s="375"/>
      <c r="AH50" s="290"/>
      <c r="AI50" s="290"/>
      <c r="AJ50" s="539"/>
      <c r="AK50" s="539"/>
      <c r="AL50" s="548" t="e">
        <f>AP50*AN48*AQ47+AP50</f>
        <v>#VALUE!</v>
      </c>
      <c r="AM50" s="548" t="e">
        <f>IF(AL50=0,"",AL50/X50)</f>
        <v>#VALUE!</v>
      </c>
      <c r="AN50" s="537"/>
      <c r="AO50" s="536"/>
      <c r="AP50" s="399" t="e">
        <f>AR50/(1+AO48)</f>
        <v>#VALUE!</v>
      </c>
      <c r="AQ50" s="536"/>
      <c r="AR50" s="399" t="e">
        <f>AJ49</f>
        <v>#VALUE!</v>
      </c>
      <c r="AS50" s="290"/>
      <c r="AT50" s="290"/>
      <c r="AU50" s="290"/>
      <c r="AV50" s="293"/>
      <c r="AW50" s="293"/>
      <c r="AX50" s="293"/>
      <c r="AY50" s="293"/>
      <c r="AZ50" s="293"/>
      <c r="BA50" s="293"/>
      <c r="BB50" s="293"/>
      <c r="BC50" s="293"/>
      <c r="BD50" s="293"/>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Q50" s="442" t="str">
        <f t="shared" si="46"/>
        <v/>
      </c>
      <c r="CR50" s="455" t="str">
        <f t="shared" si="47"/>
        <v/>
      </c>
      <c r="CS50" s="109" t="str">
        <f t="shared" si="48"/>
        <v/>
      </c>
      <c r="CT50" s="58" t="str">
        <f t="shared" si="49"/>
        <v/>
      </c>
      <c r="CU50" s="131" t="str">
        <f t="shared" si="50"/>
        <v/>
      </c>
      <c r="CV50" s="107" t="str">
        <f t="shared" si="51"/>
        <v/>
      </c>
      <c r="CW50" s="1233" t="str">
        <f>IF($B$94&lt;&gt;"","",H50)</f>
        <v/>
      </c>
      <c r="CX50" s="1233"/>
      <c r="CY50" s="435"/>
    </row>
    <row r="51" spans="1:103" ht="13.8" x14ac:dyDescent="0.25">
      <c r="B51" s="661" t="str">
        <f>IF(OR(B8=K3,B8=K4),P6,"")</f>
        <v/>
      </c>
      <c r="C51" s="706"/>
      <c r="D51" s="109" t="str">
        <f>IF(B51="","",IF(C51&gt;1,"días","día"))</f>
        <v/>
      </c>
      <c r="E51" s="50" t="str">
        <f>IF(B51="","",26.67)</f>
        <v/>
      </c>
      <c r="F51" s="695" t="str">
        <f>IF(B51="","","€/día")</f>
        <v/>
      </c>
      <c r="G51" s="58" t="str">
        <f>IF(B51="","",C51*E51)</f>
        <v/>
      </c>
      <c r="H51" s="12"/>
      <c r="I51" s="132"/>
      <c r="J51" s="275"/>
      <c r="K51" s="276" t="s">
        <v>152</v>
      </c>
      <c r="L51" s="276" t="s">
        <v>153</v>
      </c>
      <c r="M51" s="276"/>
      <c r="N51" s="276"/>
      <c r="O51" s="276"/>
      <c r="P51" s="276"/>
      <c r="Q51" s="276"/>
      <c r="R51" s="276"/>
      <c r="S51" s="276"/>
      <c r="T51" s="276"/>
      <c r="U51" s="276"/>
      <c r="V51" s="276"/>
      <c r="W51" s="1260" t="str">
        <f>IF(AC48&lt;&gt;0,W48 &amp; " " &amp; X48 &amp;" " &amp; Y48 &amp;" " &amp; Z48 &amp; " "&amp; AA48  &amp; " "&amp; AB48  &amp; " "&amp; AC48,"")</f>
        <v xml:space="preserve">Alojamiento (según decreto) 0 noche a  €/noche </v>
      </c>
      <c r="X51" s="1260"/>
      <c r="Y51" s="1260"/>
      <c r="Z51" s="1260"/>
      <c r="AA51" s="1260"/>
      <c r="AB51" s="1260"/>
      <c r="AC51" s="1260"/>
      <c r="AD51" s="395">
        <f>SUM(AC48:AC49)</f>
        <v>0</v>
      </c>
      <c r="AE51" s="396" t="s">
        <v>362</v>
      </c>
      <c r="AF51" s="276"/>
      <c r="AJ51" s="539"/>
      <c r="AK51" s="539"/>
      <c r="AL51" s="549" t="e">
        <f>IF(AK48="","",IF(AC49&lt;&gt;0,X49&amp;""&amp;Y49&amp;" "&amp;Z49&amp;" "&amp;AK48&amp;AB6&amp;" "&amp;AL49&amp;AC6,""))</f>
        <v>#VALUE!</v>
      </c>
      <c r="AM51" s="537"/>
      <c r="AN51" s="537"/>
      <c r="AO51" s="536"/>
      <c r="AP51" s="536"/>
      <c r="AQ51" s="536"/>
      <c r="AR51" s="536"/>
      <c r="CQ51" s="442" t="str">
        <f t="shared" si="46"/>
        <v/>
      </c>
      <c r="CR51" s="455" t="str">
        <f t="shared" si="47"/>
        <v/>
      </c>
      <c r="CS51" s="109" t="str">
        <f t="shared" si="48"/>
        <v/>
      </c>
      <c r="CT51" s="41" t="str">
        <f t="shared" si="49"/>
        <v/>
      </c>
      <c r="CU51" s="131" t="str">
        <f t="shared" si="50"/>
        <v/>
      </c>
      <c r="CV51" s="107" t="str">
        <f t="shared" si="51"/>
        <v/>
      </c>
      <c r="CW51" s="12"/>
    </row>
    <row r="52" spans="1:103" ht="13.8" x14ac:dyDescent="0.25">
      <c r="B52" s="194" t="s">
        <v>512</v>
      </c>
      <c r="C52" s="128"/>
      <c r="D52" s="194" t="s">
        <v>165</v>
      </c>
      <c r="E52" s="125"/>
      <c r="F52" s="1249" t="str">
        <f>IF(AND(C52&lt;&gt;"",E52=""),"Falta indicar la hora",IF(AND(C2=M1,C52=C54,C52&lt;&gt;"",E52&gt;P10,E54&lt;=P12),"No corresponde dietas",IF(AND(C2=M1,C52=C54,C52&lt;&gt;"",E52&lt;=P10,E54&gt;P12),"Manutención sin pernoctar",IF(AND(C2=M1,C52=C54,C52&lt;&gt;"",E52&gt;P10,E54&gt;P12),"1/2 Manutención",IF(AND(C2=M1,52=C54,C52&lt;&gt;"",E52&lt;=P10,E54&lt;=P11),"No corresponde dietas",IF(AND(C2=M1,C52=C54,C52&lt;&gt;"",E52&lt;=P10,E54&gt;P11,E54&lt;=P12),"1/2 Manutención",IF(AND(C2=M1,C52&lt;&gt;C54,C52&lt;&gt;"",E52&lt;=P10),"Para el día de salida: salida , manutención pernoctando",IF(AND(C2=M1,52&lt;&gt;C54,C52&lt;&gt;"",E52&gt;P12),"Para el día de salida: No corresponde manutención",IF(AND(C2=M1,C52&lt;&gt;C54,52&lt;&gt;"",E52&gt;P10),"Para el día de salida: salida 1/2 manutención",IF(AND(C2=M2,C52&lt;&gt;"",C52=C54,E52&lt;=M9,E54&gt;M10,N58&gt;=N9),"Sólo le corresponde 1/2 manutención",IF(AND(C2=M2,52&lt;&gt;"",C52&lt;&gt;C54,E52&lt;=M9),"Para el día de salida: Manute. Completa",IF(AND(C2=M2,C52&lt;&gt;"",C52&lt;&gt;C54,E52&gt;M9,E52&lt;=M11),"Para el día de salida:1/2 manutención",IF(AND(C2=M2,C52&lt;&gt;"",C52&lt;&gt;C54,E52&gt;=M11),"Para el día de salida no corresponde dieta",IF(AND(OR(E52&gt;=M9,E54&lt;=M10,N58&lt;N9),C2=M2,C52&lt;&gt;"",C52=C54),"No le corresponde dietas",""))))))))))))))</f>
        <v/>
      </c>
      <c r="G52" s="1249"/>
      <c r="H52" s="1249"/>
      <c r="I52" s="1249"/>
      <c r="J52" s="275"/>
      <c r="K52" s="279">
        <f>IF(E49="","",C50*E49)</f>
        <v>0</v>
      </c>
      <c r="L52" s="276">
        <f>IF(K52="","",G50-K52)</f>
        <v>0</v>
      </c>
      <c r="M52" s="276" t="s">
        <v>255</v>
      </c>
      <c r="N52" s="276"/>
      <c r="O52" s="276"/>
      <c r="P52" s="276"/>
      <c r="Q52" s="276"/>
      <c r="R52" s="276"/>
      <c r="S52" s="276"/>
      <c r="T52" s="276"/>
      <c r="U52" s="276"/>
      <c r="V52" s="276"/>
      <c r="W52" s="1260" t="str">
        <f t="shared" ref="W52" si="58">IF(AC49&lt;&gt;0,W49 &amp; " " &amp; X49 &amp;" " &amp; Y49 &amp;" " &amp; Z49 &amp; " "&amp; AA49  &amp; " "&amp; AB49  &amp; " "&amp; AC49,"")</f>
        <v/>
      </c>
      <c r="X52" s="1260"/>
      <c r="Y52" s="1260"/>
      <c r="Z52" s="1260"/>
      <c r="AA52" s="1260"/>
      <c r="AB52" s="1260"/>
      <c r="AC52" s="1260"/>
      <c r="AE52" s="276"/>
      <c r="AF52" s="276"/>
      <c r="AJ52" s="539"/>
      <c r="AK52" s="539"/>
      <c r="AL52" s="549" t="e">
        <f>IF(AK49="","",IF(AC50&lt;&gt;0,X50&amp;""&amp;Y50&amp;" "&amp;Z50&amp;" "&amp;AM50&amp;AB6&amp;" "&amp;AL50&amp;AC6,""))</f>
        <v>#VALUE!</v>
      </c>
      <c r="AM52" s="537"/>
      <c r="AN52" s="537"/>
      <c r="AO52" s="536"/>
      <c r="AP52" s="536"/>
      <c r="AQ52" s="536"/>
      <c r="AR52" s="536"/>
      <c r="CQ52" s="194" t="str">
        <f>IF($B$94&lt;&gt;"","",B52)</f>
        <v/>
      </c>
      <c r="CR52" s="456" t="str">
        <f>IF(C52="","",IF($B$94&lt;&gt;"","",C52))</f>
        <v/>
      </c>
      <c r="CS52" s="194"/>
      <c r="CT52" s="452" t="str">
        <f>IF(E52="","",IF($B$94&lt;&gt;"","",E52))</f>
        <v/>
      </c>
      <c r="CU52" s="1234" t="str">
        <f>IF($B$94&lt;&gt;"","",F52)</f>
        <v/>
      </c>
      <c r="CV52" s="1234"/>
      <c r="CW52" s="1234"/>
      <c r="CX52" s="1234"/>
    </row>
    <row r="53" spans="1:103" s="183" customFormat="1" ht="13.8" x14ac:dyDescent="0.25">
      <c r="B53" s="188"/>
      <c r="C53" s="214"/>
      <c r="D53" s="133"/>
      <c r="E53" s="213"/>
      <c r="F53" s="1249" t="str">
        <f>IF(B8=K1,"",IF(K54&lt;1,"",IF(K47="","",IF(AND(C55&lt;&gt;"",K54&gt;0,C52&lt;&gt;C54),"Días intermedios, manutención completa según días con derecho a dietas",""))))</f>
        <v/>
      </c>
      <c r="G53" s="1249"/>
      <c r="H53" s="1249"/>
      <c r="I53" s="1249"/>
      <c r="J53" s="275"/>
      <c r="K53" s="276" t="s">
        <v>248</v>
      </c>
      <c r="L53" s="276"/>
      <c r="M53" s="709">
        <f>SUM(G56:G62)</f>
        <v>0</v>
      </c>
      <c r="N53" s="276"/>
      <c r="O53" s="276"/>
      <c r="P53" s="276"/>
      <c r="Q53" s="276"/>
      <c r="R53" s="276"/>
      <c r="S53" s="276"/>
      <c r="T53" s="276"/>
      <c r="U53" s="276"/>
      <c r="V53" s="276"/>
      <c r="W53" s="1260" t="str">
        <f>IF(AC50&gt;0,W50 &amp; " " &amp; X50 &amp;" " &amp; Y50 &amp;" " &amp; Z50 &amp; " "&amp; AA50  &amp; " "&amp; AB50  &amp; " "&amp; AC50,"")</f>
        <v/>
      </c>
      <c r="X53" s="1260"/>
      <c r="Y53" s="1260"/>
      <c r="Z53" s="1260"/>
      <c r="AA53" s="1260"/>
      <c r="AB53" s="1260"/>
      <c r="AC53" s="1260"/>
      <c r="AD53" s="276"/>
      <c r="AE53" s="276"/>
      <c r="AF53" s="276"/>
      <c r="AG53" s="290"/>
      <c r="AH53" s="290"/>
      <c r="AI53" s="290"/>
      <c r="AJ53"/>
      <c r="AK53"/>
      <c r="AL53" s="539" t="e">
        <f>W46&amp;" "&amp;AL51</f>
        <v>#VALUE!</v>
      </c>
      <c r="AM53" s="290"/>
      <c r="AN53" s="290"/>
      <c r="AO53" s="290"/>
      <c r="AP53" s="290"/>
      <c r="AQ53" s="290"/>
      <c r="AR53" s="290"/>
      <c r="AS53" s="290"/>
      <c r="AT53" s="290"/>
      <c r="AU53" s="290"/>
      <c r="AV53" s="293"/>
      <c r="AW53" s="293"/>
      <c r="AX53" s="293"/>
      <c r="AY53" s="293"/>
      <c r="AZ53" s="293"/>
      <c r="BA53" s="293"/>
      <c r="BB53" s="293"/>
      <c r="BC53" s="293"/>
      <c r="BD53" s="293"/>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Q53" s="188"/>
      <c r="CR53" s="214"/>
      <c r="CS53" s="133"/>
      <c r="CT53" s="213"/>
      <c r="CU53" s="1234" t="str">
        <f>IF($B$94&lt;&gt;"","",F53)</f>
        <v/>
      </c>
      <c r="CV53" s="1234"/>
      <c r="CW53" s="1234"/>
      <c r="CX53" s="1234"/>
      <c r="CY53" s="435"/>
    </row>
    <row r="54" spans="1:103" ht="13.8" x14ac:dyDescent="0.25">
      <c r="B54" s="126" t="s">
        <v>513</v>
      </c>
      <c r="C54" s="128"/>
      <c r="D54" s="192" t="s">
        <v>165</v>
      </c>
      <c r="E54" s="125"/>
      <c r="F54" s="1249" t="str">
        <f>IF(AND(C54&lt;&gt;"",E54=""),"Falta indicar la hora",IF(AND(C2=M1,E54&gt;P12,C52&lt;&gt;C54,E54&lt;&gt;""),"Para el día de regreso: manutención sin pernoctar",IF(AND(C2=M1,E54&gt;P11,E54&lt;=P12,C52&lt;&gt;C54),"Para el día de regreso:, 1/2 manutención",IF(AND(C2=M1,E54&lt;=P11,C52&lt;&gt;C54),"Para el días de regreso: No corresponde manutención",IF(AND(C2=M2,C54&lt;&gt;"",C52&lt;&gt;C54,E54&gt;M11),"Para el día de regreso: regreso posterior a las 22:00 H,",IF(AND(C2=M2,C54&lt;&gt;"",C52&lt;&gt;C54,E54&gt;M9),"Para el día de regreso: Regreso posterior a las 14:00 H 1/2 nanut.",IF(AND(C2=M2,C54&lt;&gt;"",C52&lt;&gt;C54,E54&lt;=M9),"Para el día de regreso no corresponde dieta","")))))))</f>
        <v/>
      </c>
      <c r="G54" s="1249"/>
      <c r="H54" s="1249"/>
      <c r="I54" s="1249"/>
      <c r="J54" s="275"/>
      <c r="K54" s="276" t="str">
        <f>IF(C55="","",C55-2)</f>
        <v/>
      </c>
      <c r="L54" s="276"/>
      <c r="M54" s="276"/>
      <c r="N54" s="276"/>
      <c r="O54" s="276"/>
      <c r="P54" s="276"/>
      <c r="Q54" s="276"/>
      <c r="R54" s="276"/>
      <c r="S54" s="276"/>
      <c r="T54" s="276"/>
      <c r="U54" s="276"/>
      <c r="V54" s="276"/>
      <c r="W54" s="1058" t="str">
        <f>IF(X47&gt;0,"Total alojamiento en T. Extranjero:"&amp;" "&amp;W46&amp;" "&amp;TEXT((X47),"#.###,00 €")&amp;" desglosado en:" &amp; W511 &amp;" " &amp;" " &amp;W52 &amp;" " &amp; W53,"")</f>
        <v/>
      </c>
      <c r="X54" s="1058"/>
      <c r="Y54" s="1058"/>
      <c r="Z54" s="1058"/>
      <c r="AA54" s="1058"/>
      <c r="AB54" s="1058"/>
      <c r="AC54" s="1058"/>
      <c r="AD54" s="1058"/>
      <c r="AE54" s="1058"/>
      <c r="AF54" s="276"/>
      <c r="AJ54"/>
      <c r="AK54"/>
      <c r="AL54" s="539" t="e">
        <f>IF(AL52="","",W46&amp;" "&amp;W50&amp;" "&amp;AL52)</f>
        <v>#VALUE!</v>
      </c>
      <c r="CQ54" s="192" t="str">
        <f>IF($B$94&lt;&gt;"","",B54)</f>
        <v/>
      </c>
      <c r="CR54" s="456" t="str">
        <f>IF(C54="","",IF($B$94&lt;&gt;"","",C54))</f>
        <v/>
      </c>
      <c r="CS54" s="192"/>
      <c r="CT54" s="452" t="str">
        <f>IF(E54="","",IF($B$94&lt;&gt;"","",E54))</f>
        <v/>
      </c>
      <c r="CU54" s="1234" t="str">
        <f>IF($B$94&lt;&gt;"","",F54)</f>
        <v/>
      </c>
      <c r="CV54" s="1234"/>
      <c r="CW54" s="1234"/>
      <c r="CX54" s="1234"/>
    </row>
    <row r="55" spans="1:103" ht="13.8" x14ac:dyDescent="0.25">
      <c r="B55" s="192" t="s">
        <v>171</v>
      </c>
      <c r="C55" s="65" t="str">
        <f>IF(OR(C52="",C54=""),"",(C54-C52)+1)</f>
        <v/>
      </c>
      <c r="D55" s="1273" t="s">
        <v>162</v>
      </c>
      <c r="E55" s="1273"/>
      <c r="F55" s="1249" t="str">
        <f>IF(AND(C2=M2,C54&lt;&gt;"",C52&lt;&gt;C54,E54&gt;M11),"excepcionalmente manut. Completa, previa factura de la cena.","")</f>
        <v/>
      </c>
      <c r="G55" s="1249"/>
      <c r="H55" s="1249"/>
      <c r="I55" s="1249"/>
      <c r="J55" s="275"/>
      <c r="K55" s="276" t="s">
        <v>241</v>
      </c>
      <c r="L55" s="285">
        <f>SUM(G59:G62)</f>
        <v>0</v>
      </c>
      <c r="M55" s="276" t="s">
        <v>242</v>
      </c>
      <c r="N55" s="285">
        <f>SUM(G56:G58)</f>
        <v>0</v>
      </c>
      <c r="O55" s="276"/>
      <c r="P55" s="276"/>
      <c r="Q55" s="276"/>
      <c r="R55" s="276"/>
      <c r="S55" s="276"/>
      <c r="T55" s="276"/>
      <c r="U55" s="276"/>
      <c r="V55" s="276"/>
      <c r="W55" s="276" t="s">
        <v>245</v>
      </c>
      <c r="X55" s="586">
        <f>SUM(G48:G51)</f>
        <v>0</v>
      </c>
      <c r="AA55" s="276" t="s">
        <v>354</v>
      </c>
      <c r="AB55" s="276" t="s">
        <v>353</v>
      </c>
      <c r="AC55" s="276" t="s">
        <v>349</v>
      </c>
      <c r="AE55" s="276"/>
      <c r="AF55" s="276"/>
      <c r="AJ55"/>
      <c r="AK55"/>
      <c r="CQ55" s="192" t="str">
        <f>IF($B$94&lt;&gt;"","",B55)</f>
        <v/>
      </c>
      <c r="CR55" s="65" t="str">
        <f>IF($B$94&lt;&gt;"","",C55)</f>
        <v/>
      </c>
      <c r="CS55" s="1235" t="str">
        <f>IF($B$94&lt;&gt;"","",D55)</f>
        <v/>
      </c>
      <c r="CT55" s="1235"/>
      <c r="CU55" s="1234"/>
      <c r="CV55" s="1234"/>
      <c r="CW55" s="1234"/>
      <c r="CX55" s="1234"/>
    </row>
    <row r="56" spans="1:103" ht="13.8" x14ac:dyDescent="0.25">
      <c r="B56" s="659" t="s">
        <v>116</v>
      </c>
      <c r="C56" s="705"/>
      <c r="D56" s="109" t="str">
        <f>IF(C56&gt;1,"noches","noche")</f>
        <v>noche</v>
      </c>
      <c r="E56" s="84" t="str">
        <f>IF(C2=M1,VLOOKUP(D55,ANEXO!A2:C100,2,0),IF(C2=M2,VLOOKUP(D55,ANEXO!D2:G100,2,0),""))</f>
        <v/>
      </c>
      <c r="F56" s="131" t="s">
        <v>201</v>
      </c>
      <c r="G56" s="107" t="str">
        <f>IF(E56="","",C56*E56)</f>
        <v/>
      </c>
      <c r="H56" s="14"/>
      <c r="I56" s="132"/>
      <c r="J56" s="275"/>
      <c r="K56" s="276"/>
      <c r="L56" s="276"/>
      <c r="M56" s="276"/>
      <c r="N56" s="276"/>
      <c r="O56" s="276"/>
      <c r="P56" s="276"/>
      <c r="Q56" s="276"/>
      <c r="R56" s="276"/>
      <c r="S56" s="276"/>
      <c r="T56" s="276"/>
      <c r="U56" s="276"/>
      <c r="V56" s="276"/>
      <c r="W56" s="324" t="str">
        <f>B48</f>
        <v>1/2 manutención</v>
      </c>
      <c r="X56" s="370">
        <f>C48</f>
        <v>0</v>
      </c>
      <c r="Y56" s="324" t="str">
        <f>D48</f>
        <v>día</v>
      </c>
      <c r="Z56" s="324" t="s">
        <v>259</v>
      </c>
      <c r="AA56" s="323" t="str">
        <f>E48</f>
        <v/>
      </c>
      <c r="AB56" s="324" t="str">
        <f>F48</f>
        <v>€/día</v>
      </c>
      <c r="AC56" s="323">
        <f>G48</f>
        <v>0</v>
      </c>
      <c r="AD56" s="276" t="str">
        <f>IF(AC56&lt;&gt;0,X56&amp;" "&amp;Y56&amp;AA55&amp;" "&amp;Z56&amp;" "&amp;AA56&amp;$AB$35&amp;" "&amp;AC56&amp;$AC$35,"")</f>
        <v/>
      </c>
      <c r="AE56" s="276"/>
      <c r="AF56" s="276"/>
      <c r="AJ56"/>
      <c r="AK56"/>
      <c r="AL56"/>
      <c r="AM56"/>
      <c r="AN56"/>
      <c r="AO56"/>
      <c r="AP56"/>
      <c r="AQ56"/>
      <c r="AR56"/>
      <c r="CQ56" s="442" t="str">
        <f>IF($B$94&lt;&gt;"","",B56)</f>
        <v/>
      </c>
      <c r="CR56" s="455" t="str">
        <f>IF(C56="","",IF($B$94&lt;&gt;"","",C56))</f>
        <v/>
      </c>
      <c r="CS56" s="109" t="str">
        <f>IF($B$94&lt;&gt;"","",D56)</f>
        <v/>
      </c>
      <c r="CT56" s="84" t="str">
        <f>IF($B$94&lt;&gt;"","",E56)</f>
        <v/>
      </c>
      <c r="CU56" s="131" t="str">
        <f>IF($B$94&lt;&gt;"","",F56)</f>
        <v/>
      </c>
      <c r="CV56" s="107" t="str">
        <f>IF($B$94&lt;&gt;"","",G56)</f>
        <v/>
      </c>
      <c r="CW56" s="14"/>
    </row>
    <row r="57" spans="1:103" ht="13.8" x14ac:dyDescent="0.25">
      <c r="B57" s="659" t="s">
        <v>105</v>
      </c>
      <c r="C57" s="705"/>
      <c r="D57" s="109" t="str">
        <f t="shared" ref="D57:D58" si="59">IF(C57&gt;1,"noches","noche")</f>
        <v>noche</v>
      </c>
      <c r="E57" s="64">
        <f>IF(C57="",0,G57/C57)</f>
        <v>0</v>
      </c>
      <c r="F57" s="131" t="s">
        <v>201</v>
      </c>
      <c r="G57" s="174">
        <v>0</v>
      </c>
      <c r="H57" s="1275" t="str">
        <f>IF(AND(C57="",G57&gt;0),"Falta indicar las noches",IF(AND(L58&gt;0,G57&gt;K58),"Supera al Decreto en"&amp;TEXT((L58)," #.###,00 €"),""))</f>
        <v/>
      </c>
      <c r="I57" s="1275"/>
      <c r="J57" s="275"/>
      <c r="K57" s="276" t="s">
        <v>152</v>
      </c>
      <c r="L57" s="276" t="s">
        <v>153</v>
      </c>
      <c r="M57" s="277" t="s">
        <v>258</v>
      </c>
      <c r="N57" s="276" t="s">
        <v>195</v>
      </c>
      <c r="O57" s="276"/>
      <c r="P57" s="276"/>
      <c r="Q57" s="276"/>
      <c r="R57" s="276"/>
      <c r="S57" s="276"/>
      <c r="T57" s="276"/>
      <c r="U57" s="276"/>
      <c r="V57" s="276"/>
      <c r="W57" s="324" t="str">
        <f t="shared" ref="W57:W59" si="60">B49</f>
        <v/>
      </c>
      <c r="X57" s="370">
        <f t="shared" ref="X57:X59" si="61">C49</f>
        <v>0</v>
      </c>
      <c r="Y57" s="324" t="str">
        <f t="shared" ref="Y57:Y59" si="62">D49</f>
        <v>día</v>
      </c>
      <c r="Z57" s="324" t="s">
        <v>259</v>
      </c>
      <c r="AA57" s="323">
        <f t="shared" ref="AA57:AA59" si="63">E49</f>
        <v>0</v>
      </c>
      <c r="AB57" s="324" t="str">
        <f t="shared" ref="AB57:AB59" si="64">F49</f>
        <v>€/día</v>
      </c>
      <c r="AC57" s="323" t="str">
        <f t="shared" ref="AC57:AC59" si="65">G49</f>
        <v/>
      </c>
      <c r="AD57" s="276" t="str">
        <f>IF(AC57&lt;&gt;0,X57&amp;" "&amp;Y57&amp;" "&amp;Z57&amp;" "&amp;AA57&amp;$AB$35&amp;" "&amp;AC57&amp;$AC$35,"")</f>
        <v>0 día a 0€/D €;</v>
      </c>
      <c r="AE57" s="276"/>
      <c r="AF57" s="276"/>
      <c r="AJ57"/>
      <c r="AK57"/>
      <c r="AL57"/>
      <c r="AM57"/>
      <c r="AN57"/>
      <c r="AO57"/>
      <c r="AP57"/>
      <c r="AQ57"/>
      <c r="AR57"/>
      <c r="CQ57" s="442" t="str">
        <f t="shared" ref="CQ57:CQ62" si="66">IF($B$94&lt;&gt;"","",B57)</f>
        <v/>
      </c>
      <c r="CR57" s="455" t="str">
        <f t="shared" ref="CR57:CR62" si="67">IF(C57="","",IF($B$94&lt;&gt;"","",C57))</f>
        <v/>
      </c>
      <c r="CS57" s="109" t="str">
        <f t="shared" ref="CS57:CS62" si="68">IF($B$94&lt;&gt;"","",D57)</f>
        <v/>
      </c>
      <c r="CT57" s="84" t="str">
        <f t="shared" ref="CT57:CT62" si="69">IF($B$94&lt;&gt;"","",E57)</f>
        <v/>
      </c>
      <c r="CU57" s="131" t="str">
        <f t="shared" ref="CU57:CU62" si="70">IF($B$94&lt;&gt;"","",F57)</f>
        <v/>
      </c>
      <c r="CV57" s="107" t="str">
        <f t="shared" ref="CV57:CV62" si="71">IF($B$94&lt;&gt;"","",G57)</f>
        <v/>
      </c>
      <c r="CW57" s="1007" t="str">
        <f>IF($B$94&lt;&gt;"","",H57)</f>
        <v/>
      </c>
      <c r="CX57" s="1007"/>
    </row>
    <row r="58" spans="1:103" ht="13.8" x14ac:dyDescent="0.25">
      <c r="B58" s="660" t="s">
        <v>284</v>
      </c>
      <c r="C58" s="705"/>
      <c r="D58" s="109" t="str">
        <f t="shared" si="59"/>
        <v>noche</v>
      </c>
      <c r="E58" s="217">
        <f>IF(C58="",0,G58/C58)</f>
        <v>0</v>
      </c>
      <c r="F58" s="131" t="s">
        <v>201</v>
      </c>
      <c r="G58" s="152">
        <v>0</v>
      </c>
      <c r="H58" s="1275" t="str">
        <f>IF(AND(C58="",G58&gt;0),"Falta indicar las noches",IF(AND(L59&gt;0,G58&gt;K59),"Supera al Decreto en"&amp;TEXT((L59)," #.###,00 €"),M22))</f>
        <v>Pagos a Terceros</v>
      </c>
      <c r="I58" s="1275"/>
      <c r="J58" s="275"/>
      <c r="K58" s="279" t="str">
        <f>IF(E56="","",C57*E56)</f>
        <v/>
      </c>
      <c r="L58" s="279" t="str">
        <f>IF(K58="","",G57-K58)</f>
        <v/>
      </c>
      <c r="M58" s="290" t="s">
        <v>257</v>
      </c>
      <c r="N58" s="289">
        <f>E54-E52</f>
        <v>0</v>
      </c>
      <c r="O58" s="276"/>
      <c r="P58" s="276"/>
      <c r="Q58" s="276"/>
      <c r="R58" s="276"/>
      <c r="S58" s="276"/>
      <c r="T58" s="276"/>
      <c r="U58" s="276"/>
      <c r="V58" s="276"/>
      <c r="W58" s="324" t="str">
        <f t="shared" si="60"/>
        <v>Manutención (según factura/Ticket)</v>
      </c>
      <c r="X58" s="370">
        <f t="shared" si="61"/>
        <v>0</v>
      </c>
      <c r="Y58" s="324" t="str">
        <f t="shared" si="62"/>
        <v>día</v>
      </c>
      <c r="Z58" s="324" t="s">
        <v>259</v>
      </c>
      <c r="AA58" s="323">
        <f t="shared" si="63"/>
        <v>0</v>
      </c>
      <c r="AB58" s="324" t="str">
        <f t="shared" si="64"/>
        <v>€/día</v>
      </c>
      <c r="AC58" s="323">
        <f t="shared" si="65"/>
        <v>0</v>
      </c>
      <c r="AD58" s="276" t="str">
        <f>IF(AC58&lt;&gt;0,X58&amp;" "&amp;Y58&amp;" "&amp;Z58&amp;" "&amp;AA58&amp;$AB$35&amp;" "&amp;AC58&amp;$AC$35,"")</f>
        <v/>
      </c>
      <c r="AE58" s="276"/>
      <c r="AJ58"/>
      <c r="AK58"/>
      <c r="AL58"/>
      <c r="AM58"/>
      <c r="AN58"/>
      <c r="AO58"/>
      <c r="AP58"/>
      <c r="AQ58"/>
      <c r="AR58"/>
      <c r="CQ58" s="442" t="str">
        <f t="shared" si="66"/>
        <v/>
      </c>
      <c r="CR58" s="455" t="str">
        <f t="shared" si="67"/>
        <v/>
      </c>
      <c r="CS58" s="109" t="str">
        <f t="shared" si="68"/>
        <v/>
      </c>
      <c r="CT58" s="84" t="str">
        <f t="shared" si="69"/>
        <v/>
      </c>
      <c r="CU58" s="131" t="str">
        <f t="shared" si="70"/>
        <v/>
      </c>
      <c r="CV58" s="107" t="str">
        <f t="shared" si="71"/>
        <v/>
      </c>
      <c r="CW58" s="1007" t="str">
        <f>IF($B$94&lt;&gt;"","",H58)</f>
        <v/>
      </c>
      <c r="CX58" s="1007"/>
    </row>
    <row r="59" spans="1:103" ht="13.8" x14ac:dyDescent="0.25">
      <c r="B59" s="661" t="s">
        <v>0</v>
      </c>
      <c r="C59" s="705"/>
      <c r="D59" s="109" t="str">
        <f>IF(C59&gt;1,"días","día")</f>
        <v>día</v>
      </c>
      <c r="E59" s="58" t="str">
        <f>IF(C2=M1,S9,IF(C2=M2,VLOOKUP(D55,ANEXO!D2:G100,4,0),""))</f>
        <v/>
      </c>
      <c r="F59" s="131" t="s">
        <v>200</v>
      </c>
      <c r="G59" s="105">
        <f>IF(AND(C59&gt;0,B8=K1),0,IF(C59="",0,C59*E59))</f>
        <v>0</v>
      </c>
      <c r="H59" s="1160" t="s">
        <v>654</v>
      </c>
      <c r="I59" s="1160"/>
      <c r="J59" s="275"/>
      <c r="K59" s="279" t="str">
        <f>IF(E56="","",C58*E56)</f>
        <v/>
      </c>
      <c r="L59" s="279" t="str">
        <f>IF(K59="","",G58-K59)</f>
        <v/>
      </c>
      <c r="M59" s="290" t="s">
        <v>257</v>
      </c>
      <c r="N59" s="276"/>
      <c r="O59" s="276"/>
      <c r="P59" s="276"/>
      <c r="Q59" s="276"/>
      <c r="R59" s="276"/>
      <c r="S59" s="276"/>
      <c r="T59" s="276"/>
      <c r="U59" s="276"/>
      <c r="V59" s="276"/>
      <c r="W59" s="324" t="str">
        <f t="shared" si="60"/>
        <v/>
      </c>
      <c r="X59" s="370">
        <f t="shared" si="61"/>
        <v>0</v>
      </c>
      <c r="Y59" s="324" t="str">
        <f t="shared" si="62"/>
        <v/>
      </c>
      <c r="Z59" s="324" t="s">
        <v>259</v>
      </c>
      <c r="AA59" s="323" t="str">
        <f t="shared" si="63"/>
        <v/>
      </c>
      <c r="AB59" s="324" t="str">
        <f t="shared" si="64"/>
        <v/>
      </c>
      <c r="AC59" s="323" t="str">
        <f t="shared" si="65"/>
        <v/>
      </c>
      <c r="AD59" s="276" t="str">
        <f>IF(AC59&lt;&gt;"",X59&amp;" "&amp;Y59&amp;" "&amp;Z59&amp;" "&amp;AA59&amp;$AB$35&amp;" "&amp;AC59&amp;$AC$35,"")</f>
        <v/>
      </c>
      <c r="AE59" s="276"/>
      <c r="AJ59" s="539"/>
      <c r="AK59" s="539"/>
      <c r="AL59"/>
      <c r="AM59"/>
      <c r="AN59"/>
      <c r="AO59"/>
      <c r="AP59"/>
      <c r="AQ59"/>
      <c r="AR59"/>
      <c r="CQ59" s="442" t="str">
        <f t="shared" si="66"/>
        <v/>
      </c>
      <c r="CR59" s="455" t="str">
        <f t="shared" si="67"/>
        <v/>
      </c>
      <c r="CS59" s="109" t="str">
        <f t="shared" si="68"/>
        <v/>
      </c>
      <c r="CT59" s="84" t="str">
        <f t="shared" si="69"/>
        <v/>
      </c>
      <c r="CU59" s="131" t="str">
        <f t="shared" si="70"/>
        <v/>
      </c>
      <c r="CV59" s="107" t="str">
        <f t="shared" si="71"/>
        <v/>
      </c>
      <c r="CW59" s="14"/>
    </row>
    <row r="60" spans="1:103" ht="13.8" x14ac:dyDescent="0.25">
      <c r="B60" s="662" t="str">
        <f>IF(B8=K2,M5,IF(B8=K3,P5,IF(B8=K4,P5,"")))</f>
        <v/>
      </c>
      <c r="C60" s="705"/>
      <c r="D60" s="109" t="str">
        <f t="shared" ref="D60:D61" si="72">IF(C60&gt;1,"días","día")</f>
        <v>día</v>
      </c>
      <c r="E60" s="219">
        <f>IF(B60=M5,VLOOKUP(D55,ANEXO!D2:G100,3,0),VLOOKUP(D55,ANEXO!A2:C100,3,0))</f>
        <v>0</v>
      </c>
      <c r="F60" s="131" t="s">
        <v>200</v>
      </c>
      <c r="G60" s="105" t="str">
        <f>IF(B60="","",C60*E60)</f>
        <v/>
      </c>
      <c r="H60" s="15"/>
      <c r="I60" s="132"/>
      <c r="J60" s="275"/>
      <c r="K60" s="279">
        <f>IF(E60="","",C61*E60)</f>
        <v>0</v>
      </c>
      <c r="L60" s="279">
        <f>IF(K60="","",G61-K60)</f>
        <v>0</v>
      </c>
      <c r="M60" s="290" t="s">
        <v>256</v>
      </c>
      <c r="N60" s="276"/>
      <c r="O60" s="276"/>
      <c r="P60" s="276"/>
      <c r="Q60" s="276"/>
      <c r="R60" s="276"/>
      <c r="S60" s="276"/>
      <c r="T60" s="276"/>
      <c r="U60" s="276"/>
      <c r="V60" s="276"/>
      <c r="W60" s="1058" t="str">
        <f>IF(AC56&gt;0,W56 &amp; " " &amp; X56&amp;" " &amp; Y56 &amp;" " &amp; Z56 &amp; " "&amp; AA56  &amp; " "&amp; AB56  &amp; " "&amp; AC56,"")</f>
        <v/>
      </c>
      <c r="X60" s="1058"/>
      <c r="Y60" s="1058"/>
      <c r="Z60" s="1058"/>
      <c r="AA60" s="1058"/>
      <c r="AB60" s="1058"/>
      <c r="AC60" s="1058"/>
      <c r="AD60" s="316" t="str">
        <f>IF(X55&lt;&gt;0,"MANUT."&amp;W46&amp;" "&amp;X55&amp;AC55&amp;" "&amp;AD56&amp;" "&amp;AD57&amp;" "&amp;AD58&amp;" "&amp;AD59,"")</f>
        <v/>
      </c>
      <c r="AE60" s="316"/>
      <c r="AJ60" s="539"/>
      <c r="AK60" s="539"/>
      <c r="AL60"/>
      <c r="AM60"/>
      <c r="AN60"/>
      <c r="AO60"/>
      <c r="AP60"/>
      <c r="AQ60"/>
      <c r="AR60"/>
      <c r="CQ60" s="442" t="str">
        <f t="shared" si="66"/>
        <v/>
      </c>
      <c r="CR60" s="455" t="str">
        <f t="shared" si="67"/>
        <v/>
      </c>
      <c r="CS60" s="109" t="str">
        <f t="shared" si="68"/>
        <v/>
      </c>
      <c r="CT60" s="84" t="str">
        <f t="shared" si="69"/>
        <v/>
      </c>
      <c r="CU60" s="131" t="str">
        <f t="shared" si="70"/>
        <v/>
      </c>
      <c r="CV60" s="107" t="str">
        <f t="shared" si="71"/>
        <v/>
      </c>
      <c r="CW60" s="15"/>
    </row>
    <row r="61" spans="1:103" ht="13.8" x14ac:dyDescent="0.25">
      <c r="B61" s="661" t="s">
        <v>122</v>
      </c>
      <c r="C61" s="705"/>
      <c r="D61" s="109" t="str">
        <f t="shared" si="72"/>
        <v>día</v>
      </c>
      <c r="E61" s="64">
        <f>IF(C61="",0,G61/C61)</f>
        <v>0</v>
      </c>
      <c r="F61" s="131" t="s">
        <v>200</v>
      </c>
      <c r="G61" s="106">
        <v>0</v>
      </c>
      <c r="H61" s="1276" t="str">
        <f>IF(AND(C61="",G61&gt;0),"Falta indicar los días",IF(AND(L52&gt;0,G61&gt;K52),"Supera al Decreto en"&amp;TEXT((L52)," #.###,00 €"),""))</f>
        <v/>
      </c>
      <c r="I61" s="1276"/>
      <c r="J61" s="275"/>
      <c r="K61" s="276"/>
      <c r="L61" s="276"/>
      <c r="M61" s="276"/>
      <c r="N61" s="276"/>
      <c r="O61" s="276"/>
      <c r="P61" s="276"/>
      <c r="Q61" s="276"/>
      <c r="R61" s="276"/>
      <c r="S61" s="276"/>
      <c r="T61" s="276"/>
      <c r="U61" s="276"/>
      <c r="V61" s="276"/>
      <c r="W61" s="1058" t="str">
        <f t="shared" ref="W61:W62" si="73">IF(AC57&gt;0,W57 &amp; " " &amp; X57&amp;" " &amp; Y57 &amp;" " &amp; Z57 &amp; " "&amp; AA57  &amp; " "&amp; AB57  &amp; " "&amp; AC57,"")</f>
        <v xml:space="preserve"> 0 día a 0 €/día </v>
      </c>
      <c r="X61" s="1058"/>
      <c r="Y61" s="1058"/>
      <c r="Z61" s="1058"/>
      <c r="AA61" s="1058"/>
      <c r="AB61" s="1058"/>
      <c r="AC61" s="1058"/>
      <c r="AD61" s="316"/>
      <c r="AE61" s="316"/>
      <c r="AJ61" s="539"/>
      <c r="AK61" s="539"/>
      <c r="AL61"/>
      <c r="AM61"/>
      <c r="AN61"/>
      <c r="AO61"/>
      <c r="AP61"/>
      <c r="AQ61"/>
      <c r="AR61"/>
      <c r="CQ61" s="442" t="str">
        <f t="shared" si="66"/>
        <v/>
      </c>
      <c r="CR61" s="455" t="str">
        <f t="shared" si="67"/>
        <v/>
      </c>
      <c r="CS61" s="109" t="str">
        <f t="shared" si="68"/>
        <v/>
      </c>
      <c r="CT61" s="84" t="str">
        <f t="shared" si="69"/>
        <v/>
      </c>
      <c r="CU61" s="131" t="str">
        <f t="shared" si="70"/>
        <v/>
      </c>
      <c r="CV61" s="107" t="str">
        <f t="shared" si="71"/>
        <v/>
      </c>
      <c r="CW61" s="1234" t="str">
        <f>IF($B$94&lt;&gt;"","",H61)</f>
        <v/>
      </c>
      <c r="CX61" s="1234"/>
    </row>
    <row r="62" spans="1:103" ht="13.8" x14ac:dyDescent="0.25">
      <c r="A62" s="10"/>
      <c r="B62" s="663" t="str">
        <f>IF(OR(B8=K3,B8=K4),P6,"")</f>
        <v/>
      </c>
      <c r="C62" s="705"/>
      <c r="D62" s="109" t="str">
        <f>IF(B62="","",IF(C62&gt;1,"días","día"))</f>
        <v/>
      </c>
      <c r="E62" s="50" t="str">
        <f>IF(B62="","",26.67)</f>
        <v/>
      </c>
      <c r="F62" s="131" t="str">
        <f>IF(B62="","","€/día")</f>
        <v/>
      </c>
      <c r="G62" s="58" t="str">
        <f>IF(B62="","",C62*E62)</f>
        <v/>
      </c>
      <c r="H62" s="153"/>
      <c r="I62" s="132"/>
      <c r="J62" s="275"/>
      <c r="K62" s="276"/>
      <c r="L62" s="276"/>
      <c r="M62" s="276"/>
      <c r="N62" s="276"/>
      <c r="O62" s="276"/>
      <c r="P62" s="276"/>
      <c r="Q62" s="276"/>
      <c r="R62" s="276"/>
      <c r="S62" s="276"/>
      <c r="T62" s="276"/>
      <c r="U62" s="276"/>
      <c r="V62" s="276"/>
      <c r="W62" s="1058" t="str">
        <f t="shared" si="73"/>
        <v/>
      </c>
      <c r="X62" s="1058"/>
      <c r="Y62" s="1058"/>
      <c r="Z62" s="1058"/>
      <c r="AA62" s="1058"/>
      <c r="AB62" s="1058"/>
      <c r="AC62" s="1058"/>
      <c r="AD62" s="316"/>
      <c r="AE62" s="316"/>
      <c r="CQ62" s="442" t="str">
        <f t="shared" si="66"/>
        <v/>
      </c>
      <c r="CR62" s="455" t="str">
        <f t="shared" si="67"/>
        <v/>
      </c>
      <c r="CS62" s="109" t="str">
        <f t="shared" si="68"/>
        <v/>
      </c>
      <c r="CT62" s="84" t="str">
        <f t="shared" si="69"/>
        <v/>
      </c>
      <c r="CU62" s="131" t="str">
        <f t="shared" si="70"/>
        <v/>
      </c>
      <c r="CV62" s="107" t="str">
        <f t="shared" si="71"/>
        <v/>
      </c>
      <c r="CW62" s="523"/>
    </row>
    <row r="63" spans="1:103" ht="15.6" x14ac:dyDescent="0.3">
      <c r="A63" s="10"/>
      <c r="B63" s="1270" t="str">
        <f>IF(D90&lt;&gt;"","",IF(E91&lt;&gt;D9,"",IF(B8&lt;&gt;0,"Total de dietas en T. Extranjero desglosado en manutención "&amp;TEXT((L63),"#.###,00 €")&amp;" alojamiento "&amp;TEXT(N63,"#.###,00 €"),"")))</f>
        <v/>
      </c>
      <c r="C63" s="1270"/>
      <c r="D63" s="1270"/>
      <c r="E63" s="1270"/>
      <c r="F63" s="1270"/>
      <c r="G63" s="1149" t="str">
        <f>IF(D90&lt;&gt;"","",IF(E91&lt;&gt;D9,"",IF(OR(H35="Falta indicar los días",H37="Falta indicar las noches",H38="Falta indicar las noches",H46="Falta indicar los días",H48="Falta indicar las noches",H57="Falta indicar los días",H61="Falta indicar las noches"),0,SUM(G34:G62))))</f>
        <v/>
      </c>
      <c r="H63" s="1149"/>
      <c r="I63" s="132"/>
      <c r="J63" s="275"/>
      <c r="K63" s="276" t="s">
        <v>249</v>
      </c>
      <c r="L63" s="279">
        <f>L35+L48+L55</f>
        <v>0</v>
      </c>
      <c r="M63" s="276" t="s">
        <v>250</v>
      </c>
      <c r="N63" s="285">
        <f>N35+N48+N55</f>
        <v>0</v>
      </c>
      <c r="O63" s="276"/>
      <c r="P63" s="276" t="str">
        <f>IF(B8&lt;&gt;0,"Total de dietas en T. Extramjero desglosado en manutención "&amp;TEXT((L63),"#.###,00 €")&amp;" alojamiento "&amp;TEXT(N63,"#.###,00 €"),"")</f>
        <v>Total de dietas en T. Extramjero desglosado en manutención ,00 € alojamiento ,00 €</v>
      </c>
      <c r="Q63" s="276"/>
      <c r="R63" s="276"/>
      <c r="S63" s="276"/>
      <c r="T63" s="276"/>
      <c r="U63" s="276"/>
      <c r="V63" s="276"/>
      <c r="W63" s="1058" t="str">
        <f>IF(OR(AC59="",AC59=0),"",W59&amp;" "&amp;X59&amp;" "&amp;Y59&amp;" "&amp;Z59&amp;" "&amp;AA59&amp;" "&amp;AB59&amp;" "&amp;AC59)</f>
        <v/>
      </c>
      <c r="X63" s="1058"/>
      <c r="Y63" s="1058"/>
      <c r="Z63" s="1058"/>
      <c r="AA63" s="1058"/>
      <c r="AB63" s="1058"/>
      <c r="AC63" s="1058"/>
      <c r="AD63" s="1058"/>
      <c r="AE63" s="1058"/>
      <c r="CQ63" s="1221" t="str">
        <f>IF($B$94&lt;&gt;"","",B63)</f>
        <v/>
      </c>
      <c r="CR63" s="1221"/>
      <c r="CS63" s="1221"/>
      <c r="CT63" s="1221"/>
      <c r="CU63" s="1221"/>
      <c r="CV63" s="1021" t="str">
        <f>IF($B$94&lt;&gt;"","",G63)</f>
        <v/>
      </c>
      <c r="CW63" s="1021"/>
    </row>
    <row r="64" spans="1:103" ht="13.8" x14ac:dyDescent="0.25">
      <c r="A64" s="10"/>
      <c r="B64" s="1114" t="str">
        <f>IF(D90&lt;&gt;"","",IF(E91&lt;&gt;D9,"","TOTAL DIETAS (N+E)"))</f>
        <v/>
      </c>
      <c r="C64" s="1114"/>
      <c r="D64" s="1114"/>
      <c r="E64" s="1114"/>
      <c r="F64" s="1114"/>
      <c r="G64" s="1149" t="str">
        <f>IF(D90&lt;&gt;"","",IF(E91&lt;&gt;D9,"",IF(OR(H57="Falta indicar los días;H44=""Faltaindicarlasnoches"),0,G27+G63)))</f>
        <v/>
      </c>
      <c r="H64" s="1149"/>
      <c r="I64" s="132"/>
      <c r="J64" s="275"/>
      <c r="K64" s="276"/>
      <c r="L64" s="276" t="s">
        <v>212</v>
      </c>
      <c r="M64" s="276"/>
      <c r="N64" s="276"/>
      <c r="O64" s="276"/>
      <c r="P64" s="276"/>
      <c r="Q64" s="276"/>
      <c r="R64" s="276"/>
      <c r="S64" s="276"/>
      <c r="T64" s="276"/>
      <c r="U64" s="276"/>
      <c r="V64" s="276"/>
      <c r="W64" s="1058" t="str">
        <f>IF(X55&gt;0,"Total manutención en T. Extranjero:"&amp;" "&amp;W46&amp;" "&amp;TEXT((X55),"#.###,00 €")&amp;" desglosado en:"&amp;W60&amp;" "&amp;" "&amp;W61&amp;" "&amp;W62&amp;" "&amp;W63,"")</f>
        <v/>
      </c>
      <c r="X64" s="1058"/>
      <c r="Y64" s="1058"/>
      <c r="Z64" s="1058"/>
      <c r="AA64" s="1058"/>
      <c r="AB64" s="1058"/>
      <c r="AC64" s="1058"/>
      <c r="AD64" s="1058"/>
      <c r="AE64" s="1058"/>
      <c r="AF64" s="1058"/>
      <c r="AG64" s="1058"/>
      <c r="AH64" s="1058"/>
      <c r="AI64" s="1058"/>
      <c r="AJ64" s="1058"/>
      <c r="AK64" s="1058"/>
      <c r="AL64" s="1058"/>
      <c r="AM64" s="1058"/>
      <c r="CQ64" s="1020" t="str">
        <f>IF($B$94&lt;&gt;"","",B64)</f>
        <v/>
      </c>
      <c r="CR64" s="1020"/>
      <c r="CS64" s="1020"/>
      <c r="CT64" s="1020"/>
      <c r="CU64" s="1020"/>
      <c r="CV64" s="1021" t="str">
        <f>IF($B$94&lt;&gt;"","",G64)</f>
        <v/>
      </c>
      <c r="CW64" s="1021"/>
    </row>
    <row r="65" spans="1:101" x14ac:dyDescent="0.25">
      <c r="A65" s="10"/>
      <c r="B65" s="10"/>
      <c r="C65" s="1271" t="s">
        <v>157</v>
      </c>
      <c r="D65" s="10"/>
      <c r="E65" s="10"/>
      <c r="F65" s="10"/>
      <c r="G65" s="66"/>
      <c r="H65" s="10"/>
      <c r="I65" s="132"/>
      <c r="J65" s="275"/>
      <c r="K65" s="276"/>
      <c r="L65" s="285">
        <f>H63-H80</f>
        <v>0</v>
      </c>
      <c r="M65" s="285"/>
      <c r="N65" s="279"/>
      <c r="O65" s="285"/>
      <c r="P65" s="276"/>
      <c r="Q65" s="276"/>
      <c r="R65" s="276"/>
      <c r="S65" s="276"/>
      <c r="T65" s="276"/>
      <c r="U65" s="276"/>
      <c r="V65" s="285"/>
      <c r="W65" s="276"/>
      <c r="X65" s="361" t="s">
        <v>296</v>
      </c>
      <c r="Y65" s="315" t="s">
        <v>297</v>
      </c>
      <c r="AE65" s="276"/>
      <c r="CQ65" s="10"/>
      <c r="CR65" s="1222" t="str">
        <f>IF($B$94&lt;&gt;"","",C65)</f>
        <v/>
      </c>
      <c r="CS65" s="10"/>
      <c r="CT65" s="10"/>
      <c r="CU65" s="10"/>
      <c r="CV65" s="66"/>
      <c r="CW65" s="10"/>
    </row>
    <row r="66" spans="1:101" ht="13.8" x14ac:dyDescent="0.25">
      <c r="A66" s="10"/>
      <c r="B66" s="88" t="s">
        <v>123</v>
      </c>
      <c r="C66" s="1272"/>
      <c r="D66" s="10"/>
      <c r="E66" s="1150" t="s">
        <v>508</v>
      </c>
      <c r="F66" s="1150"/>
      <c r="G66" s="457" t="s">
        <v>146</v>
      </c>
      <c r="H66" s="143"/>
      <c r="I66" s="132"/>
      <c r="J66" s="275"/>
      <c r="K66" s="276"/>
      <c r="L66" s="285"/>
      <c r="M66" s="285"/>
      <c r="N66" s="276"/>
      <c r="O66" s="276"/>
      <c r="P66" s="276"/>
      <c r="Q66" s="276"/>
      <c r="R66" s="276"/>
      <c r="S66" s="276"/>
      <c r="T66" s="276"/>
      <c r="U66" s="276"/>
      <c r="V66" s="285" t="s">
        <v>295</v>
      </c>
      <c r="W66" s="372" t="str">
        <f>IF(D55="ELIJA EL PAÍS          ▼","",D55)</f>
        <v/>
      </c>
      <c r="X66" s="358" t="str">
        <f>IF(C52="","",C52)</f>
        <v/>
      </c>
      <c r="Y66" s="358" t="str">
        <f>IF(C54="","",C54)</f>
        <v/>
      </c>
      <c r="Z66" s="285">
        <f>X67+X75</f>
        <v>0</v>
      </c>
      <c r="AC66" s="276" t="s">
        <v>349</v>
      </c>
      <c r="AE66" s="276"/>
      <c r="AF66" s="276"/>
      <c r="CQ66" s="9" t="str">
        <f>IF($B$94&lt;&gt;"","",B66)</f>
        <v/>
      </c>
      <c r="CR66" s="1223"/>
      <c r="CS66" s="10"/>
      <c r="CT66" s="10"/>
      <c r="CU66" s="11"/>
      <c r="CV66" s="457" t="str">
        <f>IF($B$94&lt;&gt;"","",G66)</f>
        <v/>
      </c>
      <c r="CW66" s="443" t="str">
        <f>IF(H66="","",IF($B$94&lt;&gt;"","",H66))</f>
        <v/>
      </c>
    </row>
    <row r="67" spans="1:101" ht="13.8" x14ac:dyDescent="0.25">
      <c r="A67" s="10"/>
      <c r="B67" s="23" t="s">
        <v>1</v>
      </c>
      <c r="C67" s="49"/>
      <c r="D67" s="67">
        <v>0.19</v>
      </c>
      <c r="E67" s="10" t="s">
        <v>2</v>
      </c>
      <c r="F67" s="68"/>
      <c r="G67" s="41">
        <f>C67*D67</f>
        <v>0</v>
      </c>
      <c r="H67" s="10"/>
      <c r="I67" s="132"/>
      <c r="J67" s="275"/>
      <c r="K67" s="277"/>
      <c r="L67" s="276"/>
      <c r="M67" s="276"/>
      <c r="N67" s="276"/>
      <c r="O67" s="276"/>
      <c r="P67" s="276"/>
      <c r="Q67" s="276"/>
      <c r="R67" s="276"/>
      <c r="S67" s="276"/>
      <c r="T67" s="276"/>
      <c r="U67" s="276"/>
      <c r="V67" s="276"/>
      <c r="W67" s="324" t="s">
        <v>188</v>
      </c>
      <c r="X67" s="371">
        <f>SUM(G56:G58)</f>
        <v>0</v>
      </c>
      <c r="Y67" s="324"/>
      <c r="Z67" s="324"/>
      <c r="AA67" s="324"/>
      <c r="AB67" s="324" t="s">
        <v>350</v>
      </c>
      <c r="AC67" s="324"/>
      <c r="AD67" s="378"/>
      <c r="AE67" s="378"/>
      <c r="AF67" s="378"/>
      <c r="AJ67" s="537" t="s">
        <v>383</v>
      </c>
      <c r="CQ67" s="23" t="str">
        <f>IF($B$94&lt;&gt;"","",B67)</f>
        <v/>
      </c>
      <c r="CR67" s="444" t="str">
        <f>IF(C67="","",IF($B$94&lt;&gt;"","",C67))</f>
        <v/>
      </c>
      <c r="CS67" s="67" t="str">
        <f>IF($B$94&lt;&gt;"","",E67)</f>
        <v/>
      </c>
      <c r="CT67" s="10"/>
      <c r="CU67" s="458"/>
      <c r="CV67" s="41" t="str">
        <f>IF($B$94&lt;&gt;"","",G67)</f>
        <v/>
      </c>
      <c r="CW67" s="10"/>
    </row>
    <row r="68" spans="1:101" ht="13.8" x14ac:dyDescent="0.25">
      <c r="A68" s="10"/>
      <c r="B68" s="44"/>
      <c r="C68" s="89" t="s">
        <v>129</v>
      </c>
      <c r="D68" s="79">
        <v>0</v>
      </c>
      <c r="E68" s="91" t="s">
        <v>129</v>
      </c>
      <c r="F68" s="79">
        <v>0</v>
      </c>
      <c r="G68" s="80">
        <f>SUM(C68:F68)</f>
        <v>0</v>
      </c>
      <c r="H68" s="10"/>
      <c r="I68" s="132"/>
      <c r="J68" s="275"/>
      <c r="K68" s="277"/>
      <c r="L68" s="276"/>
      <c r="M68" s="276"/>
      <c r="N68" s="276"/>
      <c r="O68" s="276"/>
      <c r="P68" s="276"/>
      <c r="Q68" s="276"/>
      <c r="R68" s="276"/>
      <c r="S68" s="276"/>
      <c r="T68" s="276"/>
      <c r="U68" s="276"/>
      <c r="V68" s="276" t="s">
        <v>152</v>
      </c>
      <c r="W68" s="324" t="str">
        <f>B56</f>
        <v>Alojamiento (según decreto)</v>
      </c>
      <c r="X68" s="370">
        <f>C56</f>
        <v>0</v>
      </c>
      <c r="Y68" s="323" t="str">
        <f>D56</f>
        <v>noche</v>
      </c>
      <c r="Z68" s="324" t="s">
        <v>259</v>
      </c>
      <c r="AA68" s="323" t="str">
        <f>E56</f>
        <v/>
      </c>
      <c r="AB68" s="324" t="str">
        <f>F56</f>
        <v>€/noche</v>
      </c>
      <c r="AC68" s="371" t="str">
        <f>G56</f>
        <v/>
      </c>
      <c r="AD68" s="378" t="str">
        <f>IF(AC68&lt;&gt;0,$W$66&amp;" " &amp; X68 &amp;" " &amp; Y68 &amp;" " &amp; Z68 &amp; " "&amp; AA68  &amp; " "&amp; $AB$67&amp;" "&amp;AC68&amp;AC66,"")</f>
        <v xml:space="preserve"> 0 noche a  €/N €;</v>
      </c>
      <c r="AE68" s="378"/>
      <c r="AF68" s="378"/>
      <c r="AJ68" s="537" t="s">
        <v>382</v>
      </c>
      <c r="AK68" s="539" t="s">
        <v>350</v>
      </c>
      <c r="AL68" s="1199" t="s">
        <v>384</v>
      </c>
      <c r="AM68" s="1199"/>
      <c r="AN68" s="426" t="s">
        <v>378</v>
      </c>
      <c r="AO68" s="426" t="s">
        <v>378</v>
      </c>
      <c r="AP68" s="426" t="s">
        <v>379</v>
      </c>
      <c r="AQ68" s="545">
        <v>0.21</v>
      </c>
      <c r="AR68" s="426" t="s">
        <v>380</v>
      </c>
      <c r="CQ68" s="441"/>
      <c r="CR68" s="482" t="str">
        <f>IF($B$94&lt;&gt;"","",C68)</f>
        <v/>
      </c>
      <c r="CS68" s="445" t="str">
        <f>IF($B$94&lt;&gt;"","",D68)</f>
        <v/>
      </c>
      <c r="CT68" s="608" t="str">
        <f>IF($B$94&lt;&gt;"","",E68)</f>
        <v/>
      </c>
      <c r="CU68" s="445" t="str">
        <f>IF($B$94&lt;&gt;"","",F68)</f>
        <v/>
      </c>
      <c r="CV68" s="41" t="str">
        <f t="shared" ref="CV68:CV71" si="74">IF($B$94&lt;&gt;"","",G68)</f>
        <v/>
      </c>
      <c r="CW68" s="10"/>
    </row>
    <row r="69" spans="1:101" ht="13.8" x14ac:dyDescent="0.25">
      <c r="A69" s="10"/>
      <c r="B69" s="147" t="s">
        <v>147</v>
      </c>
      <c r="C69" s="221" t="s">
        <v>129</v>
      </c>
      <c r="D69" s="148">
        <v>0</v>
      </c>
      <c r="E69" s="149" t="s">
        <v>129</v>
      </c>
      <c r="F69" s="148">
        <v>0</v>
      </c>
      <c r="G69" s="150">
        <f>SUM(C69:F69)</f>
        <v>0</v>
      </c>
      <c r="H69" s="151" t="s">
        <v>128</v>
      </c>
      <c r="I69" s="132"/>
      <c r="J69" s="275"/>
      <c r="K69" s="277"/>
      <c r="L69" s="276"/>
      <c r="M69" s="276"/>
      <c r="N69" s="276"/>
      <c r="O69" s="276"/>
      <c r="P69" s="276"/>
      <c r="Q69" s="276"/>
      <c r="R69" s="276"/>
      <c r="S69" s="276"/>
      <c r="T69" s="276"/>
      <c r="U69" s="276"/>
      <c r="V69" s="279" t="e">
        <f>X69*AA68</f>
        <v>#VALUE!</v>
      </c>
      <c r="W69" s="324" t="str">
        <f t="shared" ref="W69:W70" si="75">B57</f>
        <v>Alojamiento (según factura)</v>
      </c>
      <c r="X69" s="370">
        <f t="shared" ref="X69:X70" si="76">C57</f>
        <v>0</v>
      </c>
      <c r="Y69" s="323" t="str">
        <f t="shared" ref="Y69:Y70" si="77">D57</f>
        <v>noche</v>
      </c>
      <c r="Z69" s="324" t="s">
        <v>259</v>
      </c>
      <c r="AA69" s="323">
        <f t="shared" ref="AA69:AA70" si="78">E57</f>
        <v>0</v>
      </c>
      <c r="AB69" s="324" t="str">
        <f t="shared" ref="AB69:AB70" si="79">F57</f>
        <v>€/noche</v>
      </c>
      <c r="AC69" s="371">
        <f t="shared" ref="AC69:AC70" si="80">G57</f>
        <v>0</v>
      </c>
      <c r="AD69" s="378" t="str">
        <f>IF(AC69&lt;&gt;0,$W$66&amp;" "&amp; X69 &amp;" " &amp; Y69 &amp;" " &amp; Z69 &amp; " "&amp; AA69  &amp; " "&amp; $AB$67&amp;" "&amp;AJ69&amp;AC66,"")</f>
        <v/>
      </c>
      <c r="AE69" s="378"/>
      <c r="AF69" s="378"/>
      <c r="AJ69" s="540" t="e">
        <f>IF(AC69&gt;V69,V69,AC69)</f>
        <v>#VALUE!</v>
      </c>
      <c r="AK69" s="550" t="e">
        <f>IF(AJ69=0,"",AJ69/X69)</f>
        <v>#VALUE!</v>
      </c>
      <c r="AL69" s="537" t="s">
        <v>393</v>
      </c>
      <c r="AM69" s="537" t="s">
        <v>350</v>
      </c>
      <c r="AN69" s="546">
        <v>0.1</v>
      </c>
      <c r="AO69" s="547">
        <v>0.1</v>
      </c>
      <c r="AP69" s="536"/>
      <c r="AQ69" s="536"/>
      <c r="AR69" s="536"/>
      <c r="CQ69" s="23" t="str">
        <f>IF($B$94&lt;&gt;"","",B69)</f>
        <v/>
      </c>
      <c r="CR69" s="482" t="str">
        <f t="shared" ref="CR69:CR71" si="81">IF($B$94&lt;&gt;"","",C69)</f>
        <v/>
      </c>
      <c r="CS69" s="445" t="str">
        <f t="shared" ref="CS69:CS71" si="82">IF($B$94&lt;&gt;"","",D69)</f>
        <v/>
      </c>
      <c r="CT69" s="608" t="str">
        <f t="shared" ref="CT69:CT71" si="83">IF($B$94&lt;&gt;"","",E69)</f>
        <v/>
      </c>
      <c r="CU69" s="445" t="str">
        <f t="shared" ref="CU69:CU71" si="84">IF($B$94&lt;&gt;"","",F69)</f>
        <v/>
      </c>
      <c r="CV69" s="41" t="str">
        <f t="shared" si="74"/>
        <v/>
      </c>
      <c r="CW69" s="9" t="str">
        <f>IF($B$94&lt;&gt;"","",H69)</f>
        <v/>
      </c>
    </row>
    <row r="70" spans="1:101" ht="13.8" x14ac:dyDescent="0.25">
      <c r="A70" s="10"/>
      <c r="B70" s="44"/>
      <c r="C70" s="89" t="s">
        <v>129</v>
      </c>
      <c r="D70" s="79">
        <v>0</v>
      </c>
      <c r="E70" s="91" t="s">
        <v>129</v>
      </c>
      <c r="F70" s="79">
        <v>0</v>
      </c>
      <c r="G70" s="85">
        <f>SUM(D70+F70)</f>
        <v>0</v>
      </c>
      <c r="H70" s="1161" t="s">
        <v>654</v>
      </c>
      <c r="I70" s="1159"/>
      <c r="J70" s="275"/>
      <c r="K70" s="277"/>
      <c r="L70" s="276"/>
      <c r="M70" s="276"/>
      <c r="N70" s="276"/>
      <c r="O70" s="276"/>
      <c r="P70" s="276"/>
      <c r="Q70" s="276"/>
      <c r="R70" s="276"/>
      <c r="S70" s="276"/>
      <c r="T70" s="276"/>
      <c r="U70" s="276"/>
      <c r="V70" s="279" t="e">
        <f>X70*AA68</f>
        <v>#VALUE!</v>
      </c>
      <c r="W70" s="324" t="str">
        <f t="shared" si="75"/>
        <v>Alojamiento Pagos a Terceros</v>
      </c>
      <c r="X70" s="370">
        <f t="shared" si="76"/>
        <v>0</v>
      </c>
      <c r="Y70" s="323" t="str">
        <f t="shared" si="77"/>
        <v>noche</v>
      </c>
      <c r="Z70" s="324" t="s">
        <v>259</v>
      </c>
      <c r="AA70" s="323">
        <f t="shared" si="78"/>
        <v>0</v>
      </c>
      <c r="AB70" s="324" t="str">
        <f t="shared" si="79"/>
        <v>€/noche</v>
      </c>
      <c r="AC70" s="371">
        <f t="shared" si="80"/>
        <v>0</v>
      </c>
      <c r="AD70" s="378" t="str">
        <f>IF(AC70&lt;&gt;0,W70&amp;"  "&amp;W66&amp;" "&amp;AC70&amp;$AC$66 &amp;" " &amp; X70 &amp;" " &amp; Y70 &amp;" " &amp; Z70 &amp; " "&amp; AA70  &amp; " "&amp; $AB$67&amp;" "&amp;AC70&amp;AC66,"")</f>
        <v/>
      </c>
      <c r="AE70" s="378"/>
      <c r="AF70" s="378"/>
      <c r="AJ70" s="540" t="e">
        <f>IF(AC70&gt;V70,V70,AC70)</f>
        <v>#VALUE!</v>
      </c>
      <c r="AK70" s="550" t="e">
        <f>IF(AJ70=0,"",AJ70/X70)</f>
        <v>#VALUE!</v>
      </c>
      <c r="AL70" s="548" t="e">
        <f>AP70*AN69*AQ68+AP70</f>
        <v>#VALUE!</v>
      </c>
      <c r="AM70" s="548" t="e">
        <f>IF(AL70=0,"",AL70/X69)</f>
        <v>#VALUE!</v>
      </c>
      <c r="AN70" s="537"/>
      <c r="AO70" s="536"/>
      <c r="AP70" s="399" t="e">
        <f>AR70/(1+AO69)</f>
        <v>#VALUE!</v>
      </c>
      <c r="AQ70" s="536"/>
      <c r="AR70" s="399" t="e">
        <f>AJ69</f>
        <v>#VALUE!</v>
      </c>
      <c r="CQ70" s="441"/>
      <c r="CR70" s="482" t="str">
        <f t="shared" si="81"/>
        <v/>
      </c>
      <c r="CS70" s="445" t="str">
        <f t="shared" si="82"/>
        <v/>
      </c>
      <c r="CT70" s="608" t="str">
        <f t="shared" si="83"/>
        <v/>
      </c>
      <c r="CU70" s="445" t="str">
        <f t="shared" si="84"/>
        <v/>
      </c>
      <c r="CV70" s="41" t="str">
        <f t="shared" si="74"/>
        <v/>
      </c>
      <c r="CW70" s="10"/>
    </row>
    <row r="71" spans="1:101" ht="13.8" x14ac:dyDescent="0.25">
      <c r="A71" s="10"/>
      <c r="B71" s="9"/>
      <c r="C71" s="89" t="s">
        <v>129</v>
      </c>
      <c r="D71" s="79">
        <v>0</v>
      </c>
      <c r="E71" s="91" t="s">
        <v>129</v>
      </c>
      <c r="F71" s="79">
        <v>0</v>
      </c>
      <c r="G71" s="80">
        <f>SUM(D71:F71)</f>
        <v>0</v>
      </c>
      <c r="H71" s="58"/>
      <c r="I71" s="132"/>
      <c r="J71" s="275"/>
      <c r="K71" s="277"/>
      <c r="L71" s="712">
        <v>1</v>
      </c>
      <c r="M71" s="276"/>
      <c r="N71" s="276"/>
      <c r="O71" s="276"/>
      <c r="P71" s="276"/>
      <c r="Q71" s="276"/>
      <c r="R71" s="276"/>
      <c r="S71" s="276"/>
      <c r="T71" s="276"/>
      <c r="U71" s="276"/>
      <c r="V71" s="276"/>
      <c r="W71" s="1058" t="str">
        <f>IF(AC68&lt;&gt;0,W68 &amp; " " &amp; X68 &amp;" " &amp; Y68 &amp;" " &amp; Z68 &amp; " "&amp; AA68  &amp; " "&amp; AB68  &amp; " "&amp; AC68,"")</f>
        <v xml:space="preserve">Alojamiento (según decreto) 0 noche a  €/noche </v>
      </c>
      <c r="X71" s="1058"/>
      <c r="Y71" s="1058"/>
      <c r="Z71" s="1058"/>
      <c r="AA71" s="1058"/>
      <c r="AB71" s="1058"/>
      <c r="AC71" s="1058"/>
      <c r="AD71" s="395">
        <f>SUM(AC68:AC69)</f>
        <v>0</v>
      </c>
      <c r="AE71" s="396" t="s">
        <v>363</v>
      </c>
      <c r="AF71" s="394"/>
      <c r="AJ71" s="539"/>
      <c r="AK71" s="539"/>
      <c r="AL71" s="548" t="e">
        <f>AP71*AN69*AQ68+AP71</f>
        <v>#VALUE!</v>
      </c>
      <c r="AM71" s="548" t="e">
        <f>IF(AL71=0,"",AL71/X70)</f>
        <v>#VALUE!</v>
      </c>
      <c r="AN71" s="537"/>
      <c r="AO71" s="536"/>
      <c r="AP71" s="399" t="e">
        <f>AR71/(1+AO69)</f>
        <v>#VALUE!</v>
      </c>
      <c r="AQ71" s="536"/>
      <c r="AR71" s="399" t="e">
        <f>AJ70</f>
        <v>#VALUE!</v>
      </c>
      <c r="CQ71" s="9"/>
      <c r="CR71" s="482" t="str">
        <f t="shared" si="81"/>
        <v/>
      </c>
      <c r="CS71" s="445" t="str">
        <f t="shared" si="82"/>
        <v/>
      </c>
      <c r="CT71" s="608" t="str">
        <f t="shared" si="83"/>
        <v/>
      </c>
      <c r="CU71" s="445" t="str">
        <f t="shared" si="84"/>
        <v/>
      </c>
      <c r="CV71" s="41" t="str">
        <f t="shared" si="74"/>
        <v/>
      </c>
      <c r="CW71" s="58"/>
    </row>
    <row r="72" spans="1:101" ht="13.8" x14ac:dyDescent="0.25">
      <c r="A72" s="10"/>
      <c r="B72" s="10"/>
      <c r="C72" s="935" t="str">
        <f>IF(AND(OR(C68="",C68="Elija Opción"),D68&gt;0),"ELIJA LA OPCIÓN DEL TRANSPORTE",IF(AND(OR(C69="",C69="Elija Opción"),D69&gt;0),"ELIJA LA OPCIÓN DEL TRANSPORTE",IF(AND(OR(C70="",C70="Elija Opción"),D70&gt;0),"ELIJA LA OPCIÓN DEL TRANSPORTE",IF(AND(OR(C71="",C71="Elija Opción"),D71&gt;0),"ELIJA LA OPCIÓN DEL TRANSPORTE",IF(AND(OR(E68="",E68="Elija Opción"),F68&gt;0),"ELIJA LA OPCIÓN DEL TRANSPORTE",IF(AND(OR(E69="",E69="Elija Opción"),F69&gt;0),"ELIJA LA OPCIÓN DEL TRANSPORTE",IF(AND(OR(E70="",E70="Elija Opción"),F70&gt;0),"ELIJA LA OPCIÓN DEL TRANSPORTE",IF(AND(OR(E71="",E71="Elija Opción"),F71&gt;0),"ELIJA LA OPCIÓN DEL TRANSPORTE",IF(AND(G67&gt;0,H66=""),"LIQUIDACIÓN NO VÁLIDA, INDIQUE LA MATRÍCULA","TOTAL LOCOMOCIÓN")))))))))</f>
        <v>TOTAL LOCOMOCIÓN</v>
      </c>
      <c r="D72" s="935"/>
      <c r="E72" s="935"/>
      <c r="F72" s="935"/>
      <c r="G72" s="104"/>
      <c r="H72" s="103" t="str">
        <f>IF(D90&lt;&gt;"","",IF(E91&lt;&gt;D9,"",IF(C72="ELIJA LA OPCIÓN DEL TRANSPORTE",0,SUM(G67:G71))))</f>
        <v/>
      </c>
      <c r="I72" s="132"/>
      <c r="J72" s="275"/>
      <c r="K72" s="277"/>
      <c r="L72" s="712">
        <v>9999999</v>
      </c>
      <c r="M72" s="276"/>
      <c r="N72" s="276"/>
      <c r="O72" s="276"/>
      <c r="P72" s="276"/>
      <c r="Q72" s="276"/>
      <c r="R72" s="276"/>
      <c r="S72" s="276"/>
      <c r="T72" s="276"/>
      <c r="U72" s="276"/>
      <c r="V72" s="276"/>
      <c r="W72" s="1058" t="str">
        <f t="shared" ref="W72:W73" si="85">IF(AC69&lt;&gt;0,W69 &amp; " " &amp; X69 &amp;" " &amp; Y69 &amp;" " &amp; Z69 &amp; " "&amp; AA69  &amp; " "&amp; AB69  &amp; " "&amp; AC69,"")</f>
        <v/>
      </c>
      <c r="X72" s="1058"/>
      <c r="Y72" s="1058"/>
      <c r="Z72" s="1058"/>
      <c r="AA72" s="1058"/>
      <c r="AB72" s="1058"/>
      <c r="AC72" s="1058"/>
      <c r="AE72" s="276"/>
      <c r="AF72" s="276"/>
      <c r="AJ72" s="539"/>
      <c r="AK72" s="539"/>
      <c r="AL72" s="549" t="e">
        <f>IF(AK69="","",IF(AC69&lt;&gt;0,X69&amp;""&amp;Y69&amp;" "&amp;Z69&amp;" "&amp;AK69&amp;AB27&amp;" "&amp;AL70&amp;AC27,""))</f>
        <v>#VALUE!</v>
      </c>
      <c r="AM72" s="537"/>
      <c r="AN72" s="537"/>
      <c r="AO72" s="536"/>
      <c r="AP72" s="536"/>
      <c r="AQ72" s="536"/>
      <c r="AR72" s="536"/>
      <c r="CQ72" s="10"/>
      <c r="CR72" s="1023" t="str">
        <f>IF($B$94&lt;&gt;"","",C72)</f>
        <v/>
      </c>
      <c r="CS72" s="1023"/>
      <c r="CT72" s="1023"/>
      <c r="CU72" s="1023"/>
      <c r="CV72" s="104"/>
      <c r="CW72" s="96" t="str">
        <f>IF(H72="","",IF($B$94&lt;&gt;"","",H72))</f>
        <v/>
      </c>
    </row>
    <row r="73" spans="1:101" ht="13.8" x14ac:dyDescent="0.25">
      <c r="A73" s="10"/>
      <c r="B73" s="88" t="s">
        <v>415</v>
      </c>
      <c r="C73" s="52" t="s">
        <v>143</v>
      </c>
      <c r="D73" s="190" t="str">
        <f>IF(D13="","",D13)</f>
        <v/>
      </c>
      <c r="E73" s="52" t="s">
        <v>132</v>
      </c>
      <c r="F73" s="190" t="str">
        <f>IF(F13="","",F13)</f>
        <v/>
      </c>
      <c r="G73" s="32"/>
      <c r="H73" s="59"/>
      <c r="I73" s="132"/>
      <c r="J73" s="275"/>
      <c r="K73" s="277"/>
      <c r="L73" s="276"/>
      <c r="M73" s="276"/>
      <c r="N73" s="276"/>
      <c r="O73" s="276"/>
      <c r="P73" s="276"/>
      <c r="Q73" s="276"/>
      <c r="R73" s="276"/>
      <c r="S73" s="276"/>
      <c r="T73" s="276"/>
      <c r="U73" s="276"/>
      <c r="V73" s="276"/>
      <c r="W73" s="1058" t="str">
        <f t="shared" si="85"/>
        <v/>
      </c>
      <c r="X73" s="1058"/>
      <c r="Y73" s="1058"/>
      <c r="Z73" s="1058"/>
      <c r="AA73" s="1058"/>
      <c r="AB73" s="1058"/>
      <c r="AC73" s="1058"/>
      <c r="AE73" s="276"/>
      <c r="AF73" s="276"/>
      <c r="AJ73" s="539"/>
      <c r="AK73" s="539"/>
      <c r="AL73" s="549" t="e">
        <f>IF(AK70="","",IF(AC70&lt;&gt;0,X70&amp;""&amp;Y70&amp;" "&amp;Z70&amp;" "&amp;AM71&amp;AB27&amp;" "&amp;AL71&amp;AC27,""))</f>
        <v>#VALUE!</v>
      </c>
      <c r="AM73" s="537"/>
      <c r="AN73" s="537"/>
      <c r="AO73" s="536"/>
      <c r="AP73" s="536"/>
      <c r="AQ73" s="536"/>
      <c r="AR73" s="536"/>
      <c r="CQ73" s="9" t="str">
        <f>IF($B$94&lt;&gt;"","",B73)</f>
        <v/>
      </c>
      <c r="CR73" s="439" t="str">
        <f>IF($B$94&lt;&gt;"","",C73)</f>
        <v/>
      </c>
      <c r="CS73" s="524" t="str">
        <f>IF($B$94&lt;&gt;"","",D73)</f>
        <v/>
      </c>
      <c r="CT73" s="439" t="str">
        <f>IF($B$94&lt;&gt;"","",E73)</f>
        <v/>
      </c>
      <c r="CU73" s="524" t="str">
        <f>IF($B$94&lt;&gt;"","",F73)</f>
        <v/>
      </c>
      <c r="CV73" s="32"/>
      <c r="CW73" s="59"/>
    </row>
    <row r="74" spans="1:101" ht="13.8" x14ac:dyDescent="0.25">
      <c r="A74" s="10"/>
      <c r="B74" s="1060" t="s">
        <v>634</v>
      </c>
      <c r="C74" s="1060"/>
      <c r="D74" s="1060"/>
      <c r="E74" s="1060"/>
      <c r="F74" s="710">
        <v>0</v>
      </c>
      <c r="G74" s="710">
        <v>0</v>
      </c>
      <c r="H74" s="111">
        <f>SUM(F74:G74)</f>
        <v>0</v>
      </c>
      <c r="I74" s="132"/>
      <c r="J74" s="275"/>
      <c r="K74" s="277"/>
      <c r="L74" s="713">
        <v>0</v>
      </c>
      <c r="M74" s="276"/>
      <c r="N74" s="276"/>
      <c r="O74" s="276"/>
      <c r="P74" s="276"/>
      <c r="Q74" s="276"/>
      <c r="R74" s="276"/>
      <c r="S74" s="276"/>
      <c r="T74" s="276"/>
      <c r="U74" s="276"/>
      <c r="V74" s="276"/>
      <c r="W74" s="1058" t="str">
        <f>IF(X67&gt;0,"Total alojamiento en T. Extranjero:"&amp;" "&amp;W66&amp;" "&amp;TEXT((X67),"#.###,00 €")&amp;" desglosado en:" &amp; W71 &amp;" " &amp;" " &amp;W72 &amp;" " &amp; W73,"")</f>
        <v/>
      </c>
      <c r="X74" s="1058"/>
      <c r="Y74" s="1058"/>
      <c r="Z74" s="1058"/>
      <c r="AA74" s="1058"/>
      <c r="AB74" s="1058"/>
      <c r="AC74" s="1058"/>
      <c r="AD74" s="1058"/>
      <c r="AE74" s="1058"/>
      <c r="AF74" s="276"/>
      <c r="AL74" s="539" t="e">
        <f>W66&amp;" "&amp;AL72</f>
        <v>#VALUE!</v>
      </c>
      <c r="CQ74" s="1034" t="str">
        <f>IF($B$94&lt;&gt;"","",B74)</f>
        <v/>
      </c>
      <c r="CR74" s="1034"/>
      <c r="CS74" s="1034"/>
      <c r="CT74" s="1034"/>
      <c r="CU74" s="446" t="str">
        <f t="shared" ref="CU74:CW75" si="86">IF($B$94&lt;&gt;"","",F74)</f>
        <v/>
      </c>
      <c r="CV74" s="446" t="str">
        <f t="shared" si="86"/>
        <v/>
      </c>
      <c r="CW74" s="59" t="str">
        <f t="shared" si="86"/>
        <v/>
      </c>
    </row>
    <row r="75" spans="1:101" ht="13.8" x14ac:dyDescent="0.25">
      <c r="A75" s="10"/>
      <c r="B75" s="1266" t="s">
        <v>148</v>
      </c>
      <c r="C75" s="1266"/>
      <c r="D75" s="1266"/>
      <c r="E75" s="1266"/>
      <c r="F75" s="144">
        <v>0</v>
      </c>
      <c r="G75" s="110">
        <v>0</v>
      </c>
      <c r="H75" s="162">
        <f>SUM(F75:G75)</f>
        <v>0</v>
      </c>
      <c r="I75" s="132"/>
      <c r="J75" s="275"/>
      <c r="K75" s="277"/>
      <c r="L75" s="713">
        <v>99999.99</v>
      </c>
      <c r="M75" s="277"/>
      <c r="N75" s="276"/>
      <c r="O75" s="276"/>
      <c r="P75" s="276"/>
      <c r="Q75" s="276"/>
      <c r="R75" s="276"/>
      <c r="S75" s="276"/>
      <c r="T75" s="276"/>
      <c r="U75" s="276"/>
      <c r="V75" s="276"/>
      <c r="W75" s="324" t="s">
        <v>245</v>
      </c>
      <c r="X75" s="587">
        <f>SUM(G59:G62)</f>
        <v>0</v>
      </c>
      <c r="Y75" s="324"/>
      <c r="Z75" s="324" t="s">
        <v>354</v>
      </c>
      <c r="AA75" s="324"/>
      <c r="AB75" s="324"/>
      <c r="AC75" s="324" t="s">
        <v>349</v>
      </c>
      <c r="AE75" s="276"/>
      <c r="AF75" s="276"/>
      <c r="AL75" s="553" t="e">
        <f>IF(AL73="","",W66&amp;" "&amp;W70&amp;" "&amp;AL73)</f>
        <v>#VALUE!</v>
      </c>
      <c r="CQ75" s="1224" t="str">
        <f>IF($B$94&lt;&gt;"","",B75)</f>
        <v/>
      </c>
      <c r="CR75" s="1224"/>
      <c r="CS75" s="1224"/>
      <c r="CT75" s="1224"/>
      <c r="CU75" s="446" t="str">
        <f t="shared" si="86"/>
        <v/>
      </c>
      <c r="CV75" s="446" t="str">
        <f t="shared" si="86"/>
        <v/>
      </c>
      <c r="CW75" s="59" t="str">
        <f t="shared" si="86"/>
        <v/>
      </c>
    </row>
    <row r="76" spans="1:101" ht="15.6" x14ac:dyDescent="0.3">
      <c r="A76" s="10"/>
      <c r="B76" s="1250" t="s">
        <v>161</v>
      </c>
      <c r="C76" s="1250"/>
      <c r="D76" s="1267" t="s">
        <v>154</v>
      </c>
      <c r="E76" s="1267"/>
      <c r="F76" s="171"/>
      <c r="G76" s="171"/>
      <c r="H76" s="163"/>
      <c r="I76" s="132"/>
      <c r="J76" s="275"/>
      <c r="K76" s="277"/>
      <c r="L76" s="276"/>
      <c r="N76" s="276"/>
      <c r="O76" s="276"/>
      <c r="P76" s="276"/>
      <c r="Q76" s="276"/>
      <c r="R76" s="276"/>
      <c r="S76" s="276"/>
      <c r="T76" s="276"/>
      <c r="U76" s="276"/>
      <c r="V76" s="276"/>
      <c r="W76" s="324" t="str">
        <f>B59</f>
        <v>1/2 manutención</v>
      </c>
      <c r="X76" s="370">
        <f>C59</f>
        <v>0</v>
      </c>
      <c r="Y76" s="324" t="str">
        <f>D59</f>
        <v>día</v>
      </c>
      <c r="Z76" s="324" t="s">
        <v>259</v>
      </c>
      <c r="AA76" s="323" t="str">
        <f>E59</f>
        <v/>
      </c>
      <c r="AB76" s="324" t="str">
        <f>F59</f>
        <v>€/día</v>
      </c>
      <c r="AC76" s="323">
        <f>G59</f>
        <v>0</v>
      </c>
      <c r="AD76" s="276" t="str">
        <f>IF(AC76&lt;&gt;0,X76&amp;" "&amp;Y76&amp;" "&amp;Z75&amp;" "&amp;Z76&amp;" "&amp;AA76&amp;$AB$35&amp;" "&amp;AC76&amp;$AC$35,"")</f>
        <v/>
      </c>
      <c r="AE76" s="276"/>
      <c r="AF76" s="276"/>
      <c r="CQ76" s="1037" t="str">
        <f>IF($B$94&lt;&gt;"","",B76)</f>
        <v/>
      </c>
      <c r="CR76" s="1037"/>
      <c r="CS76" s="1006" t="str">
        <f>IF($B$94&lt;&gt;"","",D76)</f>
        <v/>
      </c>
      <c r="CT76" s="1006"/>
      <c r="CU76" s="171"/>
      <c r="CV76" s="171"/>
      <c r="CW76" s="163"/>
    </row>
    <row r="77" spans="1:101" ht="13.8" x14ac:dyDescent="0.25">
      <c r="A77" s="10"/>
      <c r="B77" s="1251" t="str">
        <f>IF(OR(D76="Elija la Opción    ▼",D76=""),"Es obligatorio responder a esta pregunta","")</f>
        <v>Es obligatorio responder a esta pregunta</v>
      </c>
      <c r="C77" s="1251"/>
      <c r="D77" s="1251" t="str">
        <f>IF(AND(D76="SÍ",G77=""),"Indique el Nº de la Orden de Pago",IF(AND(D76="SÍ",G77&lt;&gt;""),"Nº de la Orden de Pago",""))</f>
        <v/>
      </c>
      <c r="E77" s="1251"/>
      <c r="F77" s="1251"/>
      <c r="G77" s="267"/>
      <c r="H77" s="69"/>
      <c r="I77" s="132"/>
      <c r="J77" s="275"/>
      <c r="K77" s="277"/>
      <c r="L77" s="276"/>
      <c r="N77" s="276"/>
      <c r="O77" s="276"/>
      <c r="P77" s="276"/>
      <c r="Q77" s="276"/>
      <c r="R77" s="276"/>
      <c r="S77" s="276"/>
      <c r="T77" s="276"/>
      <c r="U77" s="276"/>
      <c r="V77" s="276"/>
      <c r="W77" s="324" t="str">
        <f t="shared" ref="W77:W79" si="87">B60</f>
        <v/>
      </c>
      <c r="X77" s="370">
        <f t="shared" ref="X77:X79" si="88">C60</f>
        <v>0</v>
      </c>
      <c r="Y77" s="324" t="str">
        <f t="shared" ref="Y77:Y79" si="89">D60</f>
        <v>día</v>
      </c>
      <c r="Z77" s="324" t="s">
        <v>259</v>
      </c>
      <c r="AA77" s="323">
        <f t="shared" ref="AA77:AA79" si="90">E60</f>
        <v>0</v>
      </c>
      <c r="AB77" s="324" t="str">
        <f t="shared" ref="AB77:AB79" si="91">F60</f>
        <v>€/día</v>
      </c>
      <c r="AC77" s="323" t="str">
        <f t="shared" ref="AC77:AC79" si="92">G60</f>
        <v/>
      </c>
      <c r="AD77" s="276" t="str">
        <f>IF(AC77&lt;&gt;0,X77&amp;" "&amp;Y77&amp;"  "&amp;Z77&amp;" "&amp;AA77&amp;$AB$35&amp;" "&amp;AC77&amp;$AC$35,"")</f>
        <v>0 día  a 0€/D €;</v>
      </c>
      <c r="AE77" s="276"/>
      <c r="AF77" s="276"/>
      <c r="CQ77" s="1006"/>
      <c r="CR77" s="1006"/>
      <c r="CS77" s="1028" t="str">
        <f>IF($B$94&lt;&gt;"","",D77)</f>
        <v/>
      </c>
      <c r="CT77" s="1028"/>
      <c r="CU77" s="1028"/>
      <c r="CV77" s="525" t="str">
        <f>IF($B$94&lt;&gt;"","",G77)</f>
        <v/>
      </c>
      <c r="CW77" s="69"/>
    </row>
    <row r="78" spans="1:101" ht="13.8" x14ac:dyDescent="0.25">
      <c r="A78" s="10"/>
      <c r="B78" s="135"/>
      <c r="C78" s="139"/>
      <c r="D78" s="1266" t="str">
        <f>IF(D90&lt;&gt;"","",IF(E91&lt;&gt;D9,"","EL  GASTO  TOTAL  DE  ESTE  VIAJE  ASCIENDE  A:"))</f>
        <v/>
      </c>
      <c r="E78" s="1266"/>
      <c r="F78" s="1266"/>
      <c r="G78" s="1266"/>
      <c r="H78" s="101">
        <f>IF(E91&lt;&gt;D9,0,IF(D90&lt;&gt;"",0,SUM(G64+H72+H74+H75)))</f>
        <v>0</v>
      </c>
      <c r="I78" s="132"/>
      <c r="J78" s="275"/>
      <c r="K78" s="277"/>
      <c r="L78" s="276"/>
      <c r="M78" s="276"/>
      <c r="N78" s="276"/>
      <c r="O78" s="276"/>
      <c r="P78" s="276"/>
      <c r="Q78" s="276"/>
      <c r="R78" s="276"/>
      <c r="S78" s="276"/>
      <c r="T78" s="276"/>
      <c r="U78" s="276"/>
      <c r="V78" s="276"/>
      <c r="W78" s="324" t="str">
        <f t="shared" si="87"/>
        <v>Manutención (según factura/Ticket)</v>
      </c>
      <c r="X78" s="370">
        <f t="shared" si="88"/>
        <v>0</v>
      </c>
      <c r="Y78" s="324" t="str">
        <f t="shared" si="89"/>
        <v>día</v>
      </c>
      <c r="Z78" s="324" t="s">
        <v>259</v>
      </c>
      <c r="AA78" s="323">
        <f t="shared" si="90"/>
        <v>0</v>
      </c>
      <c r="AB78" s="324" t="str">
        <f t="shared" si="91"/>
        <v>€/día</v>
      </c>
      <c r="AC78" s="323">
        <f t="shared" si="92"/>
        <v>0</v>
      </c>
      <c r="AD78" s="276" t="str">
        <f t="shared" ref="AD78" si="93">IF(AC78&lt;&gt;0,X78&amp;" "&amp;Y78&amp;"  "&amp;Z78&amp;" "&amp;AA78&amp;$AB$35&amp;" "&amp;AC78&amp;$AC$35,"")</f>
        <v/>
      </c>
      <c r="AE78" s="276"/>
      <c r="CQ78" s="454"/>
      <c r="CR78" s="526"/>
      <c r="CS78" s="1224" t="str">
        <f>IF($B$94&lt;&gt;"","",D78)</f>
        <v/>
      </c>
      <c r="CT78" s="1224"/>
      <c r="CU78" s="1224"/>
      <c r="CV78" s="1224"/>
      <c r="CW78" s="527" t="str">
        <f>IF($B$94&lt;&gt;"","",H78)</f>
        <v/>
      </c>
    </row>
    <row r="79" spans="1:101" ht="13.8" x14ac:dyDescent="0.25">
      <c r="A79" s="10"/>
      <c r="B79" s="1253" t="str">
        <f>IF(E91&lt;&gt;D9,"",IF(D90&lt;&gt;"","",IF(D9="","","LIQUIDACION A FAVOR DE: "&amp;((D9)))))</f>
        <v/>
      </c>
      <c r="C79" s="1253"/>
      <c r="D79" s="1253"/>
      <c r="E79" s="1253"/>
      <c r="F79" s="1253"/>
      <c r="G79" s="1253"/>
      <c r="H79" s="102">
        <f>IF(E91&lt;&gt;D9,0,IF(D90&lt;&gt;"",0,(SUM(H78-H80))))</f>
        <v>0</v>
      </c>
      <c r="I79" s="132"/>
      <c r="J79" s="275"/>
      <c r="K79" s="276"/>
      <c r="L79" s="276"/>
      <c r="M79" s="276"/>
      <c r="N79" s="276"/>
      <c r="O79" s="276"/>
      <c r="P79" s="276"/>
      <c r="Q79" s="276"/>
      <c r="R79" s="276"/>
      <c r="S79" s="276"/>
      <c r="T79" s="276"/>
      <c r="U79" s="276"/>
      <c r="V79" s="276"/>
      <c r="W79" s="324" t="str">
        <f t="shared" si="87"/>
        <v/>
      </c>
      <c r="X79" s="370">
        <f t="shared" si="88"/>
        <v>0</v>
      </c>
      <c r="Y79" s="324" t="str">
        <f t="shared" si="89"/>
        <v/>
      </c>
      <c r="Z79" s="324" t="s">
        <v>259</v>
      </c>
      <c r="AA79" s="323" t="str">
        <f t="shared" si="90"/>
        <v/>
      </c>
      <c r="AB79" s="324" t="str">
        <f t="shared" si="91"/>
        <v/>
      </c>
      <c r="AC79" s="323" t="str">
        <f t="shared" si="92"/>
        <v/>
      </c>
      <c r="AD79" s="276" t="str">
        <f>IF(AC79&lt;&gt;"",X79&amp;" "&amp;Y79&amp;"  "&amp;Z79&amp;" "&amp;AA79&amp;$AB$35&amp;" "&amp;AC79&amp;$AC$35,"")</f>
        <v/>
      </c>
      <c r="AE79" s="276"/>
      <c r="CQ79" s="1231" t="str">
        <f t="shared" ref="CQ79:CQ86" si="94">IF($B$94&lt;&gt;"","",B79)</f>
        <v/>
      </c>
      <c r="CR79" s="1231"/>
      <c r="CS79" s="1231"/>
      <c r="CT79" s="1231"/>
      <c r="CU79" s="1231"/>
      <c r="CV79" s="1231"/>
      <c r="CW79" s="527" t="str">
        <f t="shared" ref="CW79:CW80" si="95">IF($B$94&lt;&gt;"","",H79)</f>
        <v/>
      </c>
    </row>
    <row r="80" spans="1:101" ht="15.6" x14ac:dyDescent="0.3">
      <c r="A80" s="10"/>
      <c r="B80" s="1254" t="str">
        <f>IF(D90&lt;&gt;"","",IF(E91&lt;&gt;D9,"",IF(H80&lt;&gt;"","Pagos a favor de Terceros: ","")))</f>
        <v/>
      </c>
      <c r="C80" s="1254"/>
      <c r="D80" s="1254"/>
      <c r="E80" s="1254"/>
      <c r="F80" s="1254"/>
      <c r="G80" s="1254"/>
      <c r="H80" s="117">
        <f>IF(E91&lt;&gt;D9,0,IF(D90&lt;&gt;"",0,G22+G36+G47+G58+G69+H75))</f>
        <v>0</v>
      </c>
      <c r="I80" s="132"/>
      <c r="J80" s="275"/>
      <c r="K80" s="276"/>
      <c r="L80" s="277" t="s">
        <v>129</v>
      </c>
      <c r="M80" s="276"/>
      <c r="N80" s="277" t="s">
        <v>154</v>
      </c>
      <c r="O80" s="276"/>
      <c r="P80" s="276"/>
      <c r="Q80" s="276"/>
      <c r="R80" s="276"/>
      <c r="S80" s="276"/>
      <c r="T80" s="276"/>
      <c r="U80" s="276"/>
      <c r="V80" s="276"/>
      <c r="W80" s="1260" t="str">
        <f>IF(AC76&gt;0,W76 &amp; " " &amp; X76&amp;" " &amp; Y76 &amp;" " &amp; Z76 &amp; " "&amp; AA76  &amp; " "&amp; AB76  &amp; " "&amp; AC76,"")</f>
        <v/>
      </c>
      <c r="X80" s="1260"/>
      <c r="Y80" s="1260"/>
      <c r="Z80" s="1260"/>
      <c r="AA80" s="1260"/>
      <c r="AB80" s="1260"/>
      <c r="AC80" s="1260"/>
      <c r="AD80" s="357" t="str">
        <f>IF(X75&lt;&gt;0,W66&amp;" "&amp;X75&amp;AC75&amp;" "&amp;AD76&amp;" "&amp;AD77&amp;" "&amp;AD78&amp;" "&amp;AD79,"")</f>
        <v/>
      </c>
      <c r="AE80" s="316"/>
      <c r="CQ80" s="1232" t="str">
        <f t="shared" si="94"/>
        <v/>
      </c>
      <c r="CR80" s="1232"/>
      <c r="CS80" s="1232"/>
      <c r="CT80" s="1232"/>
      <c r="CU80" s="1232"/>
      <c r="CV80" s="1232"/>
      <c r="CW80" s="527" t="str">
        <f t="shared" si="95"/>
        <v/>
      </c>
    </row>
    <row r="81" spans="1:103" ht="16.350000000000001" customHeight="1" x14ac:dyDescent="0.3">
      <c r="A81" s="10"/>
      <c r="B81" s="268" t="s">
        <v>337</v>
      </c>
      <c r="C81" s="1291" t="s">
        <v>154</v>
      </c>
      <c r="D81" s="1291"/>
      <c r="E81" s="1292" t="str">
        <f>IF(H79=0,"",IF(AND(C81="SÍ",D76="SÍ")," De los "&amp;TEXT((H79),"#.###,00 €")&amp;" a mi favor, ",IF(AND(C81="SÍ",D76="NO")," De los "&amp;TEXT((H79),"#.###,00 €")&amp;" a mi favor,  ","")))</f>
        <v/>
      </c>
      <c r="F81" s="1292"/>
      <c r="G81" s="1292"/>
      <c r="H81" s="70"/>
      <c r="I81" s="132"/>
      <c r="J81" s="275"/>
      <c r="K81" s="276"/>
      <c r="L81" s="277" t="s">
        <v>134</v>
      </c>
      <c r="M81" s="276"/>
      <c r="N81" s="290" t="s">
        <v>159</v>
      </c>
      <c r="O81" s="276"/>
      <c r="P81" s="276"/>
      <c r="Q81" s="276"/>
      <c r="R81" s="276"/>
      <c r="S81" s="276"/>
      <c r="T81" s="276"/>
      <c r="U81" s="276"/>
      <c r="V81" s="276"/>
      <c r="W81" s="1058" t="str">
        <f t="shared" ref="W81:W82" si="96">IF(AC77&gt;0,W77 &amp; " " &amp; X77&amp;" " &amp; Y77 &amp;" " &amp; Z77 &amp; " "&amp; AA77  &amp; " "&amp; AB77  &amp; " "&amp; AC77,"")</f>
        <v xml:space="preserve"> 0 día a 0 €/día </v>
      </c>
      <c r="X81" s="1058"/>
      <c r="Y81" s="1058"/>
      <c r="Z81" s="1058"/>
      <c r="AA81" s="1058"/>
      <c r="AB81" s="1058"/>
      <c r="AC81" s="1058"/>
      <c r="AD81" s="316"/>
      <c r="AE81" s="316"/>
      <c r="CQ81" s="528" t="str">
        <f t="shared" si="94"/>
        <v/>
      </c>
      <c r="CR81" s="1041" t="str">
        <f>IF($B$94&lt;&gt;"","",C81)</f>
        <v/>
      </c>
      <c r="CS81" s="1041"/>
      <c r="CT81" s="1232" t="str">
        <f>IF($B$94&lt;&gt;"","",E81)</f>
        <v/>
      </c>
      <c r="CU81" s="1232"/>
      <c r="CV81" s="1232"/>
      <c r="CW81" s="529"/>
    </row>
    <row r="82" spans="1:103" ht="15.6" x14ac:dyDescent="0.3">
      <c r="A82" s="10"/>
      <c r="B82" s="932" t="str">
        <f>IF(AND(C81="SÍ",H82=""),"INDIQUE EL IMPORTE TOTAL QUE DESEA PERCIBIR (EN LA CELDA DE COLOR GRIS)",IF(AND(C81="SÍ",H82&gt;H79),"SI RENUNCIA EL IMPORTE TIENE QUE SER MENOR DE: "&amp;TEXT((H79),"#.###,00 €"),IF(AND(C81="SÍ",H82=H79),"SI RENUNCIA EL IMPORTE TIENE QUE SER MENOR DE: "&amp;TEXT((H79),"#.###,00 €"),IF(AND(D76="SÍ",C81="NO"),"HE SOLICITADO UN ANTICIPO Y NO DESEO RENUNCIAR",IF(H79=0,"",IF(AND(C81="SÍ",D76="SÍ")," solo quiero percibir por este viaje un total de: "&amp;TEXT((H82),"#.###,00 €")&amp;" (incluyendo el anticipo).",IF(AND(C81="SÍ",D76="NO")," solo quiero percibir por este viaje un total de: "&amp;TEXT((H82),"#.###,00 €"),"")))))))</f>
        <v/>
      </c>
      <c r="C82" s="932"/>
      <c r="D82" s="932"/>
      <c r="E82" s="932"/>
      <c r="F82" s="932"/>
      <c r="G82" s="932"/>
      <c r="H82" s="264"/>
      <c r="I82" s="116"/>
      <c r="J82" s="275"/>
      <c r="K82" s="276"/>
      <c r="L82" s="277" t="s">
        <v>135</v>
      </c>
      <c r="M82" s="276"/>
      <c r="N82" s="290" t="s">
        <v>160</v>
      </c>
      <c r="O82" s="276"/>
      <c r="P82" s="276"/>
      <c r="Q82" s="276"/>
      <c r="R82" s="276"/>
      <c r="S82" s="276"/>
      <c r="T82" s="276"/>
      <c r="U82" s="276"/>
      <c r="V82" s="276"/>
      <c r="W82" s="1058" t="str">
        <f t="shared" si="96"/>
        <v/>
      </c>
      <c r="X82" s="1058"/>
      <c r="Y82" s="1058"/>
      <c r="Z82" s="1058"/>
      <c r="AA82" s="1058"/>
      <c r="AB82" s="1058"/>
      <c r="AC82" s="1058"/>
      <c r="AD82" s="316"/>
      <c r="AE82" s="316"/>
      <c r="CQ82" s="1017" t="str">
        <f t="shared" si="94"/>
        <v/>
      </c>
      <c r="CR82" s="1017"/>
      <c r="CS82" s="1017"/>
      <c r="CT82" s="1017"/>
      <c r="CU82" s="1017"/>
      <c r="CV82" s="1017"/>
      <c r="CW82" s="59" t="str">
        <f>IF(H82="","",IF($B$94&lt;&gt;"","",H82))</f>
        <v/>
      </c>
      <c r="CX82" s="530"/>
    </row>
    <row r="83" spans="1:103" ht="13.8" x14ac:dyDescent="0.25">
      <c r="A83" s="10"/>
      <c r="B83" s="71" t="str">
        <f>IF(E91&lt;&gt;D9,"",IF(D90&lt;&gt;"","","Plan Propio / Otras Ayudas:"))</f>
        <v/>
      </c>
      <c r="C83" s="1262"/>
      <c r="D83" s="1262"/>
      <c r="E83" s="1262"/>
      <c r="F83" s="1262"/>
      <c r="G83" s="1262"/>
      <c r="H83" s="164">
        <v>0</v>
      </c>
      <c r="I83" s="132"/>
      <c r="J83" s="275"/>
      <c r="K83" s="276"/>
      <c r="L83" s="277" t="s">
        <v>137</v>
      </c>
      <c r="M83" s="1058"/>
      <c r="N83" s="1058"/>
      <c r="O83" s="1058"/>
      <c r="P83" s="1058"/>
      <c r="Q83" s="1058"/>
      <c r="R83" s="1058"/>
      <c r="S83" s="1058"/>
      <c r="T83" s="1058"/>
      <c r="U83" s="276"/>
      <c r="V83" s="276"/>
      <c r="W83" s="1058" t="str">
        <f>IF(OR(AC79=0,AC79=""),"",W79&amp;" "&amp;X79&amp;" "&amp;Y79&amp;" "&amp;Z79&amp;" "&amp;AA79&amp;" "&amp;AB79&amp;" "&amp;AC79)</f>
        <v/>
      </c>
      <c r="X83" s="1058"/>
      <c r="Y83" s="1058"/>
      <c r="Z83" s="1058"/>
      <c r="AA83" s="1058"/>
      <c r="AB83" s="1058"/>
      <c r="AC83" s="1058"/>
      <c r="AD83" s="1058"/>
      <c r="AE83" s="1058"/>
      <c r="CQ83" s="171" t="str">
        <f t="shared" si="94"/>
        <v/>
      </c>
      <c r="CR83" s="1216" t="str">
        <f>IF(C83="","",IF($B$94&lt;&gt;"","",C83))</f>
        <v/>
      </c>
      <c r="CS83" s="1216"/>
      <c r="CT83" s="1216"/>
      <c r="CU83" s="1216"/>
      <c r="CV83" s="1216"/>
      <c r="CW83" s="531" t="str">
        <f>IF($B$94&lt;&gt;"","",H83)</f>
        <v/>
      </c>
    </row>
    <row r="84" spans="1:103" x14ac:dyDescent="0.25">
      <c r="A84" s="10"/>
      <c r="B84" s="72" t="str">
        <f>IF(E91&lt;&gt;D9,"",IF(D90&lt;&gt;"","","NOTA IMPORTANTE:"))</f>
        <v/>
      </c>
      <c r="C84" s="10"/>
      <c r="D84" s="10"/>
      <c r="E84" s="10"/>
      <c r="F84" s="10"/>
      <c r="G84" s="10"/>
      <c r="H84" s="12"/>
      <c r="L84" s="277" t="s">
        <v>138</v>
      </c>
      <c r="W84" s="1058" t="str">
        <f>IF(X75&gt;0,"Total manutención en T. Extranjero:"&amp;" "&amp;W66&amp;" "&amp;TEXT((X75),"#.###,00 €")&amp;" desglosado en:"&amp;W80&amp;" "&amp;" "&amp;W81&amp;" "&amp;W82&amp;" "&amp;W83,"")</f>
        <v/>
      </c>
      <c r="X84" s="1058"/>
      <c r="Y84" s="1058"/>
      <c r="Z84" s="1058"/>
      <c r="AA84" s="1058"/>
      <c r="AB84" s="1058"/>
      <c r="AC84" s="1058"/>
      <c r="AD84" s="1058"/>
      <c r="AE84" s="1058"/>
      <c r="AF84" s="1058"/>
      <c r="CQ84" s="72" t="str">
        <f t="shared" si="94"/>
        <v/>
      </c>
      <c r="CR84" s="10"/>
      <c r="CS84" s="10"/>
      <c r="CT84" s="10"/>
      <c r="CU84" s="10"/>
      <c r="CV84" s="10"/>
      <c r="CW84" s="12"/>
    </row>
    <row r="85" spans="1:103" x14ac:dyDescent="0.25">
      <c r="A85" s="10"/>
      <c r="B85" s="1018" t="str">
        <f>IF(D90&lt;&gt;"","",IF(E91&lt;&gt;D9,"","Declaro que son ciertos los datos que figuran en la presente liquidación y que no he recibido cantidad alguna por estos mismos conceptos"))</f>
        <v/>
      </c>
      <c r="C85" s="1018"/>
      <c r="D85" s="1018"/>
      <c r="E85" s="1018"/>
      <c r="F85" s="1018"/>
      <c r="G85" s="1018"/>
      <c r="H85" s="1018"/>
      <c r="L85" s="277" t="s">
        <v>150</v>
      </c>
      <c r="W85" s="276"/>
      <c r="AE85" s="276"/>
      <c r="AF85" s="276"/>
      <c r="CQ85" s="1018" t="str">
        <f t="shared" si="94"/>
        <v/>
      </c>
      <c r="CR85" s="1018"/>
      <c r="CS85" s="1018"/>
      <c r="CT85" s="1018"/>
      <c r="CU85" s="1018"/>
      <c r="CV85" s="1018"/>
      <c r="CW85" s="1018"/>
    </row>
    <row r="86" spans="1:103" x14ac:dyDescent="0.25">
      <c r="A86" s="10"/>
      <c r="B86" s="1018" t="str">
        <f>IF(D90&lt;&gt;"","",IF(E91&lt;&gt;D9,"","por parte de otro organismo o entidad privada."))</f>
        <v/>
      </c>
      <c r="C86" s="1018"/>
      <c r="D86" s="1018"/>
      <c r="E86" s="1018"/>
      <c r="F86" s="1018"/>
      <c r="G86" s="1018"/>
      <c r="H86" s="1018"/>
      <c r="L86" s="277" t="s">
        <v>141</v>
      </c>
      <c r="W86" s="276" t="s">
        <v>300</v>
      </c>
      <c r="X86" s="1284" t="str">
        <f>W13&amp;" "&amp;W34&amp;" "&amp;W54&amp;" "&amp;W74</f>
        <v xml:space="preserve">   </v>
      </c>
      <c r="Y86" s="1284"/>
      <c r="Z86" s="1284"/>
      <c r="AA86" s="1284"/>
      <c r="AB86" s="1284"/>
      <c r="AC86" s="1284"/>
      <c r="AD86" s="1284"/>
      <c r="AE86" s="1284"/>
      <c r="AF86" s="1284"/>
      <c r="AG86" s="1284"/>
      <c r="AH86" s="1284"/>
      <c r="AI86" s="1284"/>
      <c r="AJ86" s="1284"/>
      <c r="CQ86" s="1018" t="str">
        <f t="shared" si="94"/>
        <v/>
      </c>
      <c r="CR86" s="1018"/>
      <c r="CS86" s="1018"/>
      <c r="CT86" s="1018"/>
      <c r="CU86" s="1018"/>
      <c r="CV86" s="1018"/>
      <c r="CW86" s="1018"/>
    </row>
    <row r="87" spans="1:103" x14ac:dyDescent="0.25">
      <c r="A87" s="10"/>
      <c r="B87" s="10"/>
      <c r="C87" s="1265"/>
      <c r="D87" s="1265"/>
      <c r="E87" s="1265"/>
      <c r="F87" s="1265"/>
      <c r="G87" s="1265"/>
      <c r="H87" s="10"/>
      <c r="L87" s="277" t="s">
        <v>149</v>
      </c>
      <c r="W87" s="276" t="s">
        <v>301</v>
      </c>
      <c r="X87" s="359" t="str">
        <f>W23&amp;" "&amp;W44&amp;" "&amp;W64&amp;" "&amp;W84</f>
        <v xml:space="preserve">   </v>
      </c>
      <c r="Y87" s="279"/>
      <c r="AA87" s="279"/>
      <c r="AC87" s="285"/>
      <c r="AE87" s="276"/>
      <c r="AF87" s="276"/>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Q87" s="10"/>
      <c r="CR87" s="1225"/>
      <c r="CS87" s="1225"/>
      <c r="CT87" s="1225"/>
      <c r="CU87" s="1225"/>
      <c r="CV87" s="1225"/>
      <c r="CW87" s="10"/>
    </row>
    <row r="88" spans="1:103" ht="13.8" x14ac:dyDescent="0.25">
      <c r="A88" s="10"/>
      <c r="B88" s="10"/>
      <c r="C88" s="73" t="s">
        <v>3</v>
      </c>
      <c r="D88" s="1263" t="s">
        <v>500</v>
      </c>
      <c r="E88" s="1227"/>
      <c r="F88" s="1264"/>
      <c r="G88" s="1264"/>
      <c r="H88" s="1264"/>
      <c r="I88" s="1"/>
      <c r="J88" s="362"/>
      <c r="K88" s="363"/>
      <c r="L88" s="277" t="s">
        <v>139</v>
      </c>
      <c r="M88" s="363"/>
      <c r="N88" s="363"/>
      <c r="O88" s="363"/>
      <c r="P88" s="363"/>
      <c r="Q88" s="363"/>
      <c r="R88" s="364"/>
      <c r="CQ88" s="10"/>
      <c r="CR88" s="73" t="str">
        <f>IF($B$94&lt;&gt;"","",C88)</f>
        <v/>
      </c>
      <c r="CS88" s="1226" t="str">
        <f>IF($B$94&lt;&gt;"","",D88)</f>
        <v/>
      </c>
      <c r="CT88" s="1227"/>
      <c r="CU88" s="1228" t="str">
        <f>IF($B$94&lt;&gt;"","",F88)</f>
        <v/>
      </c>
      <c r="CV88" s="1228"/>
      <c r="CW88" s="1228"/>
    </row>
    <row r="89" spans="1:103" x14ac:dyDescent="0.25">
      <c r="A89" s="10"/>
      <c r="B89" s="10"/>
      <c r="C89" s="74"/>
      <c r="D89" s="74"/>
      <c r="E89" s="74"/>
      <c r="F89" s="74"/>
      <c r="G89" s="74"/>
      <c r="H89" s="74"/>
      <c r="I89" s="1"/>
      <c r="J89" s="362"/>
      <c r="K89" s="363"/>
      <c r="L89" s="277" t="s">
        <v>140</v>
      </c>
      <c r="M89" s="363"/>
      <c r="N89" s="363"/>
      <c r="O89" s="363"/>
      <c r="P89" s="363"/>
      <c r="Q89" s="363"/>
      <c r="R89" s="363"/>
      <c r="W89" s="276" t="s">
        <v>280</v>
      </c>
      <c r="X89" s="277"/>
      <c r="Y89" s="277"/>
      <c r="AD89" s="324" t="str">
        <f ca="1">IF(AE101=0,"","a 0,19€/Km")</f>
        <v/>
      </c>
      <c r="CQ89" s="10"/>
      <c r="CR89" s="10"/>
      <c r="CS89" s="10"/>
      <c r="CT89" s="10"/>
      <c r="CU89" s="10"/>
      <c r="CV89" s="10"/>
      <c r="CW89" s="10"/>
    </row>
    <row r="90" spans="1:103" x14ac:dyDescent="0.25">
      <c r="A90" s="10"/>
      <c r="B90" s="10"/>
      <c r="C90" s="74"/>
      <c r="D90" s="1225" t="str">
        <f>IF(B8=K1,K15,IF(D9="","LIQUIDACIÓN NO VÁLIDA, ESCRIBA SU NOMBRE Y APELLIDOS",IF(H9="","LIQUIDACIÓN NO VÁLIDA, FALTA INDICAR EL D.N.I.",IF(C10="","LIQUIDACIÓN NO VÁLIDA, FALTA CUMPLIMENTAR LA VINCULACIÓN CON EL PROYECTO",IF(G10="","LIQUIDACIÓN NO VÁLIDA, FALTA INDICAR CUERPO O ESCALA",IF(C11="","LIQUIDACIÓN NO VÁLIDA, FALTA CUMPLIMENTAR EL MOTIVO DEL VIAJE",IF(C12="","LIQUIDACIÓNNO VÁLIDA, FALTA CUMPLIMENTAR EL ITINERARIO",IF(H12="","LIQUIDACIÓN NO VÁLIDA, FALTA CUMPLIMENTAR EL LUGAR DE DESTINO",IF(D13="","LIQUIDACIÓN NO VÁLIDA, FALTA INDICAR LA FECHA DE INICIO DE LA ACTIVIDAD",IF(F13="","LIQUIDACIÍN NO VÁLIDA, FALTA INDICAR LA FECHA DE FIN DE LA ACTIVIDAD",IF(OR(B15="Falta indicar la hora",B17="Falta indicar la hora"),"LIQUIDACIÓN NO VÁLIDA, FALTA INDICAR LA HORA",IF(AND(L18&lt;&gt;0,C15=""),"LIQUIDACIÓN NO VÁLIDA, FALTA INDICAR LA FECHA DESDE",IF(AND(L18&lt;&gt;0,C17=""),"LIQUIDACIÓN NO VÁLIDA, FALTA INDICAR LA FECHA DESDE",IF(OR(H21="Falta indicar las noches",H22="Falta indicar las noches"),"LIQUIDACIÓN NO VÁLIDA, FALTA INDICAR LAS NOCHES",IF(H25="Falta indicar los días","LIQUIDACIÓN NO VÁLIDA, FALTA INDICAR LOS DÍAS",IF(AND(C30="",Z25&gt;0),"LIQUIDACIÓN NO VÁLIDA, FALTA INDICAR LA FECHA DESDE",IF(AND(Z25&gt;0,C32=""),"LIQUIDACIÓN NO VÁLIDA, FALTA INDICAR LA FECHA DESDE",IF(OR(F30="Falta indicar la hora",F32="Falta indicar la hora"),"LIQUIDACIÓN NO VÁLIDA, FALTA INDICAR LA HORA",IF(OR(H35="Falta indicar las noches",H36="Falta indicar las noches"),"LIQUIDACIÓN NO VÁLIDA, FALTA INDICAR LAS NOCHES",IF(H39="Falta indicar los días","LIQUIDACIÓN NO VÁLIDA, FALTA INDICAR LOS DÍAS",IF(AND(C41="",Z46&gt;0),"LIQUIDACIÓN NO VÁLIDA, FALTA INDICAR LA FECHA DESDE",IF(AND(C43="",Z46&gt;0),"LIQUIDACIÓN NO VÁLIDA, FALTA INDICAR LA FECHA DESDE",IF(OR(F41="Falta indicar la hora",F43="Falta indicar la hora"),"LIQUIDACIÓN NO VÁLIDA, FALTA INDICAR LA HORA",IF(OR(H46="Falta indicar las noches",H47="Falta indicar las noches"),"LIQUIDACIÓN NO VÁLIDA, FALTA INDICAR LAS NOCHES",IF(H50="Falta indicar los días","LIQUIDACIÓN NO VÁLIDA, FALTA INDICAR LOS DÍAS",IF(AND(C52="",Z66&gt;0),"LIQUIDACIÓN NO VÁLIDA, FALTA INDICAR LA FECHA DESDE",IF(AND(C54="",Z66&gt;0),"LIQUIDACIÓN NO VÁLIDA, FALTA INDICAR LA FECHA DESDE",IF(OR(F52="Falta indicar la hora",F54="Falta indicar la hora"),"LIQUIDACIÓN NO VÁLIDA, FALTA INDICAR LA HORA",IF(OR(H57="Falta indicar las noches",H58="Falta indicar las noches"),"LIQUIDACIÓN NO VÁLIDA, FALTA INDICAR LAS NOCHES",IF(H61="Falta indicar los días","LIQUIDACIÓN NO VÁLIDA, FALTA INDICAR LOS DÍAS",IF(D72="LIQUIDACIÓN NO VÁLIDA, INDIQUE LA MATRICULA","INDIQUE LA MATRÍCULA",IF(C72="ELIJA LA OPCIÓN DEL TRANSPORTE","LIQUIDACIÓN NO VÁLIDA, FALTA INDICAR EL MEDIO DE TRANSPORTE",IF(D73="","LIQUIDACIÓN NO VÁLIDA, FALTA INDICAR LA FECHA DE INICIO DE LA ACTIVIDAD",IF(F73="","LIQUIDACIÓN NO VÁLIDA, FALTA INDICAR LA FECHA DE FIN DE LA ACTIVIDAD",""))))))))))))))))))))))))))))))))))</f>
        <v>ANTES DE COMENZAR DEBE ELEGIR UNA OPCIÓN, MINISTERIO O JUNTA</v>
      </c>
      <c r="E90" s="1225"/>
      <c r="F90" s="1225"/>
      <c r="G90" s="1225"/>
      <c r="H90" s="1225"/>
      <c r="I90" s="1"/>
      <c r="J90" s="362"/>
      <c r="K90" s="363"/>
      <c r="L90" s="277" t="s">
        <v>136</v>
      </c>
      <c r="M90" s="363"/>
      <c r="N90" s="363"/>
      <c r="O90" s="363"/>
      <c r="P90" s="363"/>
      <c r="Q90" s="363"/>
      <c r="R90" s="363"/>
      <c r="W90" s="323" t="str">
        <f>IF(X90="","",C68)</f>
        <v/>
      </c>
      <c r="X90" s="325" t="str">
        <f>IF(D68=0,"",D68)</f>
        <v/>
      </c>
      <c r="Y90" s="277" t="str">
        <f t="shared" ref="Y90:Y99" si="97">IF(X90&lt;&gt;"","€;","")</f>
        <v/>
      </c>
      <c r="Z90" s="943" t="str">
        <f>IF(X90="","",C68)</f>
        <v/>
      </c>
      <c r="AA90" s="945"/>
      <c r="AB90" s="323" t="str">
        <f>IF(D68=0,"",D68)</f>
        <v/>
      </c>
      <c r="AC90" s="323">
        <f ca="1">SUMIF($Z$90:$AA$96,AD90,$AB$90:$AB$96)</f>
        <v>0</v>
      </c>
      <c r="AD90" s="277" t="s">
        <v>134</v>
      </c>
      <c r="AE90" s="367">
        <f ca="1">SUMIF($Z$90:$AA$96,AD90,$AB$90:$AB$96)</f>
        <v>0</v>
      </c>
      <c r="AF90" s="404" t="str">
        <f ca="1">IF(AE90&gt;0,AD90&amp;" "&amp;AE90&amp;$Y$90,"")</f>
        <v/>
      </c>
      <c r="AG90" s="290">
        <f ca="1">SUMIF($Z$97:$AA$98,AD90,$AB$97:$AB$98)</f>
        <v>0</v>
      </c>
      <c r="AH90" s="290" t="str">
        <f ca="1">IF(AG90&gt;0,AD90&amp;" "&amp;AG90&amp;$Y$90,"")</f>
        <v/>
      </c>
      <c r="CQ90" s="10"/>
      <c r="CR90" s="10"/>
      <c r="CS90" s="1229"/>
      <c r="CT90" s="1229"/>
      <c r="CU90" s="1229"/>
      <c r="CV90" s="1229"/>
      <c r="CW90" s="1229"/>
    </row>
    <row r="91" spans="1:103" s="46" customFormat="1" ht="13.8" x14ac:dyDescent="0.25">
      <c r="A91" s="1252" t="str">
        <f>IF(D90&lt;&gt;"","",IF(E91&lt;&gt;D9,"","Vº.Bº Responsable del Gasto"))</f>
        <v/>
      </c>
      <c r="B91" s="1252"/>
      <c r="D91" s="75" t="s">
        <v>106</v>
      </c>
      <c r="E91" s="1230" t="str">
        <f>IF(AND(D76="NO",F77&gt;0),"SI NO HA SOLICITADO ANTICIPO NO INSERTE IMPORTE",IF(AND(D76="sí",G77=""),"INSERTE EL Nº DE LA ORDEN DE PAGO",IF(B77&lt;&gt;"","PARA OBTENER LOS CÁLCULOS RESPONDA A LA PREGUNTA",IF(OR(C81="",C81=N80),"ES OBLITORIO RESPONDER A LA PREGUNTA",IF(F88="","PARA OBTENER LOS CÁLCULOS INDIQUE LA FECHA DE LA LIQUIDACIÓN",D9)))))</f>
        <v>PARA OBTENER LOS CÁLCULOS RESPONDA A LA PREGUNTA</v>
      </c>
      <c r="F91" s="1230"/>
      <c r="G91" s="1230"/>
      <c r="H91" s="1230"/>
      <c r="J91" s="228"/>
      <c r="K91" s="365"/>
      <c r="L91" s="277" t="s">
        <v>151</v>
      </c>
      <c r="M91" s="365"/>
      <c r="N91" s="365"/>
      <c r="O91" s="365"/>
      <c r="P91" s="365"/>
      <c r="Q91" s="365"/>
      <c r="R91" s="365"/>
      <c r="S91" s="365"/>
      <c r="T91" s="365"/>
      <c r="U91" s="365"/>
      <c r="V91" s="365"/>
      <c r="W91" s="400" t="str">
        <f>IF(X91="","",C69)</f>
        <v/>
      </c>
      <c r="X91" s="401" t="str">
        <f>IF(D69=0,"",D69)</f>
        <v/>
      </c>
      <c r="Y91" s="277" t="str">
        <f t="shared" si="97"/>
        <v/>
      </c>
      <c r="Z91" s="943" t="str">
        <f>IF(X92="","",C70)</f>
        <v/>
      </c>
      <c r="AA91" s="945"/>
      <c r="AB91" s="323" t="str">
        <f>IF(D70=0,"",D70)</f>
        <v/>
      </c>
      <c r="AC91" s="323">
        <f t="shared" ref="AC91:AC96" ca="1" si="98">SUMIF($Z$90:$AA$96,AD91,$AB$90:$AB$96)</f>
        <v>0</v>
      </c>
      <c r="AD91" s="277" t="s">
        <v>135</v>
      </c>
      <c r="AE91" s="367">
        <f t="shared" ref="AE91:AE101" ca="1" si="99">SUMIF($Z$90:$AA$96,AD91,$AB$90:$AB$96)</f>
        <v>0</v>
      </c>
      <c r="AF91" s="404" t="str">
        <f ca="1">IF(AE91&gt;0,AD91&amp;" "&amp;AE91&amp;$Y$90,"")</f>
        <v/>
      </c>
      <c r="AG91" s="290">
        <f t="shared" ref="AG91:AG100" ca="1" si="100">SUMIF($Z$97:$AA$98,AD91,$AB$97:$AB$98)</f>
        <v>0</v>
      </c>
      <c r="AH91" s="290" t="str">
        <f t="shared" ref="AH91:AH100" ca="1" si="101">IF(AG91&gt;0,AD91&amp;" "&amp;AG91&amp;$Y$90,"")</f>
        <v/>
      </c>
      <c r="AI91" s="365"/>
      <c r="AJ91" s="365"/>
      <c r="AK91" s="365"/>
      <c r="AL91" s="365"/>
      <c r="AM91" s="365"/>
      <c r="AN91" s="365"/>
      <c r="AO91" s="365"/>
      <c r="AP91" s="365"/>
      <c r="AQ91" s="365"/>
      <c r="AR91" s="365"/>
      <c r="AS91" s="365"/>
      <c r="AT91" s="365"/>
      <c r="AU91" s="365"/>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Q91" s="75" t="str">
        <f>IF($B$94&lt;&gt;"","",A91)</f>
        <v/>
      </c>
      <c r="CS91" s="75" t="str">
        <f>IF($B$94&lt;&gt;"","",D91)</f>
        <v/>
      </c>
      <c r="CT91" s="1230" t="str">
        <f>IF($B$94&lt;&gt;"","",E91)</f>
        <v/>
      </c>
      <c r="CU91" s="1230"/>
      <c r="CV91" s="1230"/>
      <c r="CW91" s="1230"/>
    </row>
    <row r="92" spans="1:103" ht="13.8" x14ac:dyDescent="0.25">
      <c r="A92" s="113" t="str">
        <f>IF(AND(D29="",H78&gt;0),"LIQUIDACIÓN NO VÁLIDA, LOS DATOS MARCADOS CON (*) SON OBLIGATORIOS",IF(AND(H29="",H78&gt;0),"LIQUIDACIÓN NO VÁLIDA, LOS DATOS MARCADOS CON (*) SON OBLIGATORIOS",""))</f>
        <v/>
      </c>
      <c r="B92" s="113"/>
      <c r="C92" s="10"/>
      <c r="D92" s="10"/>
      <c r="E92" s="1019" t="s">
        <v>163</v>
      </c>
      <c r="F92" s="1248"/>
      <c r="G92" s="1248"/>
      <c r="H92" s="1248"/>
      <c r="W92" s="323" t="str">
        <f>IF(X92="","",C70)</f>
        <v/>
      </c>
      <c r="X92" s="325" t="str">
        <f>IF(D70=0,"",D70)</f>
        <v/>
      </c>
      <c r="Y92" s="277" t="str">
        <f t="shared" si="97"/>
        <v/>
      </c>
      <c r="Z92" s="943" t="str">
        <f t="shared" ref="Z92" si="102">IF(X93="","",C71)</f>
        <v/>
      </c>
      <c r="AA92" s="945"/>
      <c r="AB92" s="323" t="str">
        <f>IF(D71=0,"",D71)</f>
        <v/>
      </c>
      <c r="AC92" s="323">
        <f t="shared" ca="1" si="98"/>
        <v>0</v>
      </c>
      <c r="AD92" s="277" t="s">
        <v>137</v>
      </c>
      <c r="AE92" s="367">
        <f ca="1">SUMIF($Z$90:$AA$96,AD92,$AB$90:$AB$96)</f>
        <v>0</v>
      </c>
      <c r="AF92" s="404" t="str">
        <f t="shared" ref="AF92:AF101" ca="1" si="103">IF(AE92&gt;0,AD92&amp;" "&amp;AE92&amp;$Y$90,"")</f>
        <v/>
      </c>
      <c r="AG92" s="290">
        <f t="shared" ca="1" si="100"/>
        <v>0</v>
      </c>
      <c r="AH92" s="290" t="str">
        <f t="shared" ca="1" si="101"/>
        <v/>
      </c>
      <c r="CQ92" s="158" t="str">
        <f>IF($B$94&lt;&gt;"","",B92)</f>
        <v/>
      </c>
      <c r="CR92" s="10"/>
      <c r="CS92" s="10"/>
      <c r="CT92" s="1019" t="str">
        <f>IF($B$94&lt;&gt;"","",E92)</f>
        <v/>
      </c>
      <c r="CU92" s="1019"/>
      <c r="CV92" s="1019"/>
      <c r="CW92" s="1019"/>
    </row>
    <row r="93" spans="1:103" x14ac:dyDescent="0.25">
      <c r="A93" s="10"/>
      <c r="B93" s="1261"/>
      <c r="C93" s="1261"/>
      <c r="D93" s="1261"/>
      <c r="E93" s="1261"/>
      <c r="F93" s="46"/>
      <c r="G93" s="46"/>
      <c r="H93" s="46"/>
      <c r="W93" s="323" t="str">
        <f>IF(X93="","",C71)</f>
        <v/>
      </c>
      <c r="X93" s="325" t="str">
        <f>IF(D71=0,"",D71)</f>
        <v/>
      </c>
      <c r="Y93" s="277" t="str">
        <f t="shared" si="97"/>
        <v/>
      </c>
      <c r="Z93" s="943" t="str">
        <f>IF(X94="","",E68)</f>
        <v/>
      </c>
      <c r="AA93" s="945"/>
      <c r="AB93" s="323" t="str">
        <f>IF(F68=0,"",F68)</f>
        <v/>
      </c>
      <c r="AC93" s="323">
        <f t="shared" ca="1" si="98"/>
        <v>0</v>
      </c>
      <c r="AD93" s="277" t="s">
        <v>138</v>
      </c>
      <c r="AE93" s="367">
        <f t="shared" ca="1" si="99"/>
        <v>0</v>
      </c>
      <c r="AF93" s="404" t="str">
        <f t="shared" ca="1" si="103"/>
        <v/>
      </c>
      <c r="AG93" s="290">
        <f t="shared" ca="1" si="100"/>
        <v>0</v>
      </c>
      <c r="AH93" s="290" t="str">
        <f t="shared" ca="1" si="101"/>
        <v/>
      </c>
      <c r="CQ93" s="1214"/>
      <c r="CR93" s="1214"/>
      <c r="CS93" s="1214"/>
      <c r="CT93" s="1214"/>
      <c r="CU93" s="46"/>
      <c r="CV93" s="46"/>
      <c r="CW93" s="46"/>
    </row>
    <row r="94" spans="1:103" s="246" customFormat="1" hidden="1" x14ac:dyDescent="0.25">
      <c r="A94" s="10"/>
      <c r="B94" s="447" t="str">
        <f>IF(B8=K1,K15,IF(D9="","LIQUIDACIÓN NO VÁLIDA, ESCRIBA SU NOMBRE Y APELLIDOS",IF(H9="","LIQUIDACIÓN NO VÁLIDA, FALTA INDICAR EL D.N.I.",IF(C10="","LIQUIDACIÓN NO VÁLIDA, FALTA CUMPLIMENTAR LA VINCULACIÓN CON EL PROYECTO",IF(G10="","LIQUIDACIÓN NO VÁLIDA, FALTA INDICAR CUERPO O ESCALA",IF(C11="","LIQUIDACIÓN NO VÁLIDA, FALTA CUMPLIMENTAR EL MOTIVO DEL VIAJE",IF(C12="","LIQUIDACIÓNNO VÁLIDA, FALTA CUMPLIMENTAR EL ITINERARIO",IF(H12="","LIQUIDACIÓN NO VÁLIDA, FALTA CUMPLIMENTAR EL LUGAR DE DESTINO",IF(D13="","LIQUIDACIÓN NO VÁLIDA, FALTA INDICAR LA FECHA DE INICIO DE LA ACTIVIDAD",IF(F13="","LIQUIDACIÍN NO VÁLIDA, FALTA INDICAR LA FECHA DE FIN DE LA ACTIVIDAD",IF(OR(B15="Falta indicar la hora",B17="Falta indicar la hora"),"LIQUIDACIÓN NO VÁLIDA, FALTA INDICAR LA HORA",IF(AND(L18&lt;&gt;0,C15=""),"LIQUIDACIÓN NO VÁLIDA, FALTA INDICAR LA FECHA DESDE",IF(AND(L18&lt;&gt;0,C17=""),"LIQUIDACIÓN NO VÁLIDA, FALTA INDICAR LA FECHA DESDE",IF(OR(H21="Falta indicar las noches",H22="Falta indicar las noches"),"LIQUIDACIÓN NO VÁLIDA, FALTA INDICAR LAS NOCHES",IF(H25="Falta indicar los días","LIQUIDACIÓN NO VÁLIDA, FALTA INDICAR LOS DÍAS",IF(AND(C30="",Z25&gt;0),"LIQUIDACIÓN NO VÁLIDA, FALTA INDICAR LA FECHA DESDE",IF(AND(Z25&gt;0,C32=""),"LIQUIDACIÓN NO VÁLIDA, FALTA INDICAR LA FECHA DESDE",IF(OR(F30="Falta indicar la hora",F32="Falta indicar la hora"),"LIQUIDACIÓN NO VÁLIDA, FALTA INDICAR LA HORA",IF(OR(H35="Falta indicar las noches",H36="Falta indicar las noches"),"LIQUIDACIÓN NO VÁLIDA, FALTA INDICAR LAS NOCHES",IF(H39="Falta indicar los días","LIQUIDACIÓN NO VÁLIDA, FALTA INDICAR LOS DÍAS",IF(AND(C41="",Z46&gt;0),"LIQUIDACIÓN NO VÁLIDA, FALTA INDICAR LA FECHA DESDE",IF(AND(C43="",Z46&gt;0),"LIQUIDACIÓN NO VÁLIDA, FALTA INDICAR LA FECHA DESDE",IF(OR(F41="Falta indicar la hora",F43="Falta indicar la hora"),"LIQUIDACIÓN NO VÁLIDA, FALTA INDICAR LA HORA",IF(OR(H46="Falta indicar las noches",H47="Falta indicar las noches"),"LIQUIDACIÓN NO VÁLIDA, FALTA INDICAR LAS NOCHES",IF(H50="Falta indicar los días","LIQUIDACIÓN NO VÁLIDA, FALTA INDICAR LOS DÍAS",IF(AND(C52="",Z66&gt;0),"LIQUIDACIÓN NO VÁLIDA, FALTA INDICAR LA FECHA DESDE",IF(AND(C54="",Z66&gt;0),"LIQUIDACIÓN NO VÁLIDA, FALTA INDICAR LA FECHA DESDE",IF(OR(F52="Falta indicar la hora",F54="Falta indicar la hora"),"LIQUIDACIÓN NO VÁLIDA, FALTA INDICAR LA HORA",IF(OR(H57="Falta indicar las noches",H58="Falta indicar las noches"),"LIQUIDACIÓN NO VÁLIDA, FALTA INDICAR LAS NOCHES",IF(H61="Falta indicar los días","LIQUIDACIÓN NO VÁLIDA, FALTA INDICAR LOS DÍAS",IF(D72="LIQUIDACIÓN NO VÁLIDA, INDIQUE LA MATRICULA","INDIQUE LA MATRÍCULA",IF(C72="ELIJA LA OPCIÓN DEL TRANSPORTE","LIQUIDACIÓN NO VÁLIDA, FALTA INDICAR EL MEDIO DE TRANSPORTE",IF(D73="","LIQUIDACIÓN NO VÁLIDA, FALTA INDICAR LA FECHA DE INICIO DE LA ACTIVIDAD",IF(F73="","LIQUIDACIÓN NO VÁLIDA, FALTA INDICAR LA FECHA DE FIN DE LA ACTIVIDAD",IF(AND(D76="NO",F77&gt;0),"SI NO HA SOLICITADO ANTICIPO NO INSERTE IMPORTE",IF(AND(D76="sí",G77=""),"INSERTE EL Nº DE LA ORDEN DE PAGO",IF(B77&lt;&gt;"","PARA OBTENER LOS CÁLCULOS RESPONDA A LA PREGUNTA",IF(C81=N80,"ES OBLITORIO RESPONDER A LA PREGUNTA",IF(AND(C81="SÍ",H82=""),"INDIQUE EL IMPORTE TOTAL QUE DESEA PERCIBIR (EN LA CELDA DE COLOR GRIS)",IF(F88="","PARA OBTENER LOS CÁLCULOS INDIQUE LA FECHA DE LA LIQUIDACIÓN",""))))))))))))))))))))))))))))))))))))))))</f>
        <v>ANTES DE COMENZAR DEBE ELEGIR UNA OPCIÓN, MINISTERIO O JUNTA</v>
      </c>
      <c r="C94" s="447"/>
      <c r="D94" s="447"/>
      <c r="E94" s="447"/>
      <c r="F94" s="447"/>
      <c r="G94" s="447"/>
      <c r="H94" s="447"/>
      <c r="I94" s="448"/>
      <c r="J94" s="293"/>
      <c r="K94" s="290"/>
      <c r="L94" s="290"/>
      <c r="M94" s="290"/>
      <c r="N94" s="290"/>
      <c r="O94" s="290"/>
      <c r="P94" s="290"/>
      <c r="Q94" s="290"/>
      <c r="R94" s="366">
        <f ca="1">NOW()</f>
        <v>44839.673229050903</v>
      </c>
      <c r="S94" s="290"/>
      <c r="T94" s="290"/>
      <c r="U94" s="290"/>
      <c r="V94" s="290"/>
      <c r="W94" s="399" t="str">
        <f>IF(X94="","",E68)</f>
        <v/>
      </c>
      <c r="X94" s="325" t="str">
        <f>IF(F68=0,"",F68)</f>
        <v/>
      </c>
      <c r="Y94" s="277" t="str">
        <f t="shared" si="97"/>
        <v/>
      </c>
      <c r="Z94" s="943" t="str">
        <f>IF(X96="","",E70)</f>
        <v/>
      </c>
      <c r="AA94" s="945"/>
      <c r="AB94" s="399" t="str">
        <f>IF(F70=0,"",F70)</f>
        <v/>
      </c>
      <c r="AC94" s="323">
        <f t="shared" ca="1" si="98"/>
        <v>0</v>
      </c>
      <c r="AD94" s="277" t="s">
        <v>150</v>
      </c>
      <c r="AE94" s="367">
        <f t="shared" ca="1" si="99"/>
        <v>0</v>
      </c>
      <c r="AF94" s="404" t="str">
        <f t="shared" ca="1" si="103"/>
        <v/>
      </c>
      <c r="AG94" s="290">
        <f t="shared" ca="1" si="100"/>
        <v>0</v>
      </c>
      <c r="AH94" s="290" t="str">
        <f t="shared" ca="1" si="101"/>
        <v/>
      </c>
      <c r="AI94" s="290"/>
      <c r="AJ94" s="290"/>
      <c r="AK94" s="290"/>
      <c r="AL94" s="290"/>
      <c r="AM94" s="290"/>
      <c r="AN94" s="290"/>
      <c r="AO94" s="290"/>
      <c r="AP94" s="290"/>
      <c r="AQ94" s="290"/>
      <c r="AR94" s="290"/>
      <c r="AS94" s="290"/>
      <c r="AT94" s="290"/>
      <c r="AU94" s="290"/>
      <c r="AV94" s="293"/>
      <c r="AW94" s="293"/>
      <c r="AX94" s="293"/>
      <c r="AY94" s="293"/>
      <c r="AZ94" s="293"/>
      <c r="BA94" s="293"/>
      <c r="BB94" s="293"/>
      <c r="BC94" s="293"/>
      <c r="BD94" s="293"/>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226"/>
      <c r="CC94" s="226"/>
      <c r="CD94" s="226"/>
      <c r="CQ94" s="46"/>
      <c r="CR94" s="46"/>
      <c r="CS94" s="1214"/>
      <c r="CT94" s="1214"/>
      <c r="CU94" s="1214"/>
      <c r="CV94" s="1214"/>
      <c r="CW94" s="1214"/>
      <c r="CX94" s="19"/>
      <c r="CY94" s="435"/>
    </row>
    <row r="95" spans="1:103" s="246" customFormat="1" ht="13.05" customHeight="1" x14ac:dyDescent="0.3">
      <c r="A95" s="10"/>
      <c r="B95" s="1268" t="str">
        <f>IF(F88="","",IF(L95=0," En su liquidación de dietas no aparecen gastos de alojamiento. Si hubiera tramitado alguna orden de pago correspondiente a gastos ",""))</f>
        <v/>
      </c>
      <c r="C95" s="1268"/>
      <c r="D95" s="1268"/>
      <c r="E95" s="1268"/>
      <c r="F95" s="1268"/>
      <c r="G95" s="1268"/>
      <c r="H95" s="1268"/>
      <c r="I95" s="1268"/>
      <c r="J95" s="293"/>
      <c r="K95" s="290"/>
      <c r="L95" s="672" t="str">
        <f>IFERROR(G20+G21+G22+G34+G35+G36+G45+G46+G47+G56+G57+G58," ")</f>
        <v xml:space="preserve"> </v>
      </c>
      <c r="M95" s="290"/>
      <c r="N95" s="290"/>
      <c r="O95" s="290"/>
      <c r="P95" s="290"/>
      <c r="Q95" s="290"/>
      <c r="R95" s="290"/>
      <c r="S95" s="290"/>
      <c r="T95" s="290"/>
      <c r="U95" s="290"/>
      <c r="V95" s="290"/>
      <c r="W95" s="402" t="str">
        <f>IF(X95="","",E69)</f>
        <v/>
      </c>
      <c r="X95" s="401" t="str">
        <f>IF(F69=0,"",F69)</f>
        <v/>
      </c>
      <c r="Y95" s="277" t="str">
        <f t="shared" si="97"/>
        <v/>
      </c>
      <c r="Z95" s="943" t="str">
        <f>IF(X97="","",E71)</f>
        <v/>
      </c>
      <c r="AA95" s="945"/>
      <c r="AB95" s="399" t="str">
        <f>IF(F71=0,"",F71)</f>
        <v/>
      </c>
      <c r="AC95" s="323">
        <f t="shared" ca="1" si="98"/>
        <v>0</v>
      </c>
      <c r="AD95" s="277" t="s">
        <v>141</v>
      </c>
      <c r="AE95" s="367">
        <f t="shared" ca="1" si="99"/>
        <v>0</v>
      </c>
      <c r="AF95" s="404" t="str">
        <f t="shared" ca="1" si="103"/>
        <v/>
      </c>
      <c r="AG95" s="290">
        <f t="shared" ca="1" si="100"/>
        <v>0</v>
      </c>
      <c r="AH95" s="290" t="str">
        <f t="shared" ca="1" si="101"/>
        <v/>
      </c>
      <c r="AI95" s="290"/>
      <c r="AJ95" s="290"/>
      <c r="AK95" s="290"/>
      <c r="AL95" s="290"/>
      <c r="AM95" s="290"/>
      <c r="AN95" s="290"/>
      <c r="AO95" s="290"/>
      <c r="AP95" s="290"/>
      <c r="AQ95" s="290"/>
      <c r="AR95" s="290"/>
      <c r="AS95" s="290"/>
      <c r="AT95" s="290"/>
      <c r="AU95" s="290"/>
      <c r="AV95" s="293"/>
      <c r="AW95" s="293"/>
      <c r="AX95" s="293"/>
      <c r="AY95" s="293"/>
      <c r="AZ95" s="293"/>
      <c r="BA95" s="293"/>
      <c r="BB95" s="293"/>
      <c r="BC95" s="293"/>
      <c r="BD95" s="293"/>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26"/>
      <c r="CA95" s="226"/>
      <c r="CB95" s="226"/>
      <c r="CC95" s="226"/>
      <c r="CD95" s="226"/>
      <c r="CQ95" s="10"/>
      <c r="CR95" s="1220"/>
      <c r="CS95" s="1220"/>
      <c r="CT95" s="1220"/>
      <c r="CU95" s="1220"/>
      <c r="CV95" s="1220"/>
      <c r="CW95" s="466"/>
      <c r="CX95" s="19"/>
      <c r="CY95" s="435"/>
    </row>
    <row r="96" spans="1:103" s="246" customFormat="1" ht="13.8" x14ac:dyDescent="0.25">
      <c r="A96" s="10"/>
      <c r="B96" s="1285" t="str">
        <f>IF(F88="","",IF(L95=0," de alojamiento para esta actividad debe enviarnos copia de la misma e incluir los gastos de alojamiento en esta liquidación.",""))</f>
        <v/>
      </c>
      <c r="C96" s="1285"/>
      <c r="D96" s="1285"/>
      <c r="E96" s="1285"/>
      <c r="F96" s="1285"/>
      <c r="G96" s="1285"/>
      <c r="H96" s="1285"/>
      <c r="I96" s="1285"/>
      <c r="J96" s="46"/>
      <c r="K96" s="368"/>
      <c r="L96" s="368"/>
      <c r="M96" s="368"/>
      <c r="N96" s="368"/>
      <c r="O96" s="368"/>
      <c r="P96" s="368"/>
      <c r="Q96" s="368"/>
      <c r="R96" s="368"/>
      <c r="S96" s="290"/>
      <c r="T96" s="290"/>
      <c r="U96" s="290"/>
      <c r="V96" s="290"/>
      <c r="W96" s="399" t="str">
        <f>IF(X96="","",E70)</f>
        <v/>
      </c>
      <c r="X96" s="325" t="str">
        <f>IF(F70=0,"",F70)</f>
        <v/>
      </c>
      <c r="Y96" s="277" t="str">
        <f t="shared" si="97"/>
        <v/>
      </c>
      <c r="Z96" s="943" t="str">
        <f>IF(X98="","","vehículo particular")</f>
        <v/>
      </c>
      <c r="AA96" s="945"/>
      <c r="AB96" s="399" t="str">
        <f>IF(G67=0,"",G67)</f>
        <v/>
      </c>
      <c r="AC96" s="323">
        <f t="shared" ca="1" si="98"/>
        <v>0</v>
      </c>
      <c r="AD96" s="277" t="s">
        <v>149</v>
      </c>
      <c r="AE96" s="367">
        <f t="shared" ca="1" si="99"/>
        <v>0</v>
      </c>
      <c r="AF96" s="404" t="str">
        <f t="shared" ca="1" si="103"/>
        <v/>
      </c>
      <c r="AG96" s="290">
        <f t="shared" ca="1" si="100"/>
        <v>0</v>
      </c>
      <c r="AH96" s="290" t="str">
        <f t="shared" ca="1" si="101"/>
        <v/>
      </c>
      <c r="AI96" s="290"/>
      <c r="AJ96" s="290"/>
      <c r="AK96" s="290"/>
      <c r="AL96" s="290"/>
      <c r="AM96" s="290"/>
      <c r="AN96" s="290"/>
      <c r="AO96" s="290"/>
      <c r="AP96" s="290"/>
      <c r="AQ96" s="290"/>
      <c r="AR96" s="290"/>
      <c r="AS96" s="290"/>
      <c r="AT96" s="290"/>
      <c r="AU96" s="290"/>
      <c r="AV96" s="293"/>
      <c r="AW96" s="293"/>
      <c r="AX96" s="293"/>
      <c r="AY96" s="293"/>
      <c r="AZ96" s="293"/>
      <c r="BA96" s="293"/>
      <c r="BB96" s="293"/>
      <c r="BC96" s="293"/>
      <c r="BD96" s="293"/>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Q96" s="1006"/>
      <c r="CR96" s="1006"/>
      <c r="CS96" s="1006"/>
      <c r="CT96" s="1006"/>
      <c r="CU96" s="1006"/>
      <c r="CV96" s="1006"/>
      <c r="CW96" s="1006"/>
      <c r="CX96" s="1006"/>
      <c r="CY96" s="435"/>
    </row>
    <row r="97" spans="2:103" s="246" customFormat="1" ht="15" customHeight="1" x14ac:dyDescent="0.3">
      <c r="B97" s="1006"/>
      <c r="C97" s="1006"/>
      <c r="D97" s="1006"/>
      <c r="E97" s="1006"/>
      <c r="F97" s="1006"/>
      <c r="G97" s="1006"/>
      <c r="H97" s="459"/>
      <c r="I97" s="535"/>
      <c r="J97" s="293"/>
      <c r="K97" s="290"/>
      <c r="L97" s="290"/>
      <c r="M97" s="290"/>
      <c r="N97" s="290"/>
      <c r="O97" s="290"/>
      <c r="P97" s="290"/>
      <c r="Q97" s="290"/>
      <c r="R97" s="290"/>
      <c r="S97" s="290"/>
      <c r="T97" s="290"/>
      <c r="U97" s="290"/>
      <c r="V97" s="290"/>
      <c r="W97" s="399" t="str">
        <f>IF(X97="","",E71)</f>
        <v/>
      </c>
      <c r="X97" s="325" t="str">
        <f>IF(F71=0,"",F71)</f>
        <v/>
      </c>
      <c r="Y97" s="277" t="str">
        <f t="shared" si="97"/>
        <v/>
      </c>
      <c r="Z97" s="1282" t="str">
        <f>IF(X91="","",C69)</f>
        <v/>
      </c>
      <c r="AA97" s="1283"/>
      <c r="AB97" s="403" t="str">
        <f>IF(D69=0,"",D69)</f>
        <v/>
      </c>
      <c r="AC97" s="323"/>
      <c r="AD97" s="277" t="s">
        <v>139</v>
      </c>
      <c r="AE97" s="367">
        <f t="shared" ca="1" si="99"/>
        <v>0</v>
      </c>
      <c r="AF97" s="404" t="str">
        <f t="shared" ca="1" si="103"/>
        <v/>
      </c>
      <c r="AG97" s="290">
        <f t="shared" ca="1" si="100"/>
        <v>0</v>
      </c>
      <c r="AH97" s="290" t="str">
        <f t="shared" ca="1" si="101"/>
        <v/>
      </c>
      <c r="AI97" s="290"/>
      <c r="AJ97" s="290"/>
      <c r="AK97" s="290"/>
      <c r="AL97" s="290"/>
      <c r="AM97" s="290"/>
      <c r="AN97" s="290"/>
      <c r="AO97" s="290"/>
      <c r="AP97" s="290"/>
      <c r="AQ97" s="290"/>
      <c r="AR97" s="290"/>
      <c r="AS97" s="290"/>
      <c r="AT97" s="290"/>
      <c r="AU97" s="290"/>
      <c r="AV97" s="293"/>
      <c r="AW97" s="293"/>
      <c r="AX97" s="293"/>
      <c r="AY97" s="293"/>
      <c r="AZ97" s="293"/>
      <c r="BA97" s="293"/>
      <c r="BB97" s="293"/>
      <c r="BC97" s="293"/>
      <c r="BD97" s="293"/>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226"/>
      <c r="CD97" s="226"/>
      <c r="CQ97" s="652"/>
      <c r="CR97" s="652"/>
      <c r="CS97" s="652"/>
      <c r="CT97" s="652"/>
      <c r="CU97" s="652"/>
      <c r="CV97" s="652"/>
      <c r="CW97" s="503"/>
      <c r="CX97" s="652"/>
      <c r="CY97" s="435"/>
    </row>
    <row r="98" spans="2:103" s="246" customFormat="1" ht="13.8" hidden="1" x14ac:dyDescent="0.25">
      <c r="B98" s="1006"/>
      <c r="C98" s="1006"/>
      <c r="D98" s="1006"/>
      <c r="E98" s="1006"/>
      <c r="F98" s="1006"/>
      <c r="G98" s="1006"/>
      <c r="H98" s="1006"/>
      <c r="I98" s="1006"/>
      <c r="J98" s="293"/>
      <c r="K98" s="290"/>
      <c r="L98" s="290"/>
      <c r="M98" s="290"/>
      <c r="N98" s="290"/>
      <c r="O98" s="290"/>
      <c r="P98" s="290"/>
      <c r="Q98" s="290"/>
      <c r="R98" s="290"/>
      <c r="S98" s="290"/>
      <c r="T98" s="290"/>
      <c r="U98" s="290"/>
      <c r="V98" s="290"/>
      <c r="W98" s="399" t="str">
        <f>IF(X98="","","vehículo particular")</f>
        <v/>
      </c>
      <c r="X98" s="325" t="str">
        <f>IF(G67=0,"",G67)</f>
        <v/>
      </c>
      <c r="Y98" s="277" t="str">
        <f t="shared" si="97"/>
        <v/>
      </c>
      <c r="Z98" s="1282" t="str">
        <f>IF(X95="","",E69)</f>
        <v/>
      </c>
      <c r="AA98" s="1283"/>
      <c r="AB98" s="403" t="str">
        <f>IF(F69=0,"",F69)</f>
        <v/>
      </c>
      <c r="AC98" s="323"/>
      <c r="AD98" s="277" t="s">
        <v>140</v>
      </c>
      <c r="AE98" s="367">
        <f t="shared" ca="1" si="99"/>
        <v>0</v>
      </c>
      <c r="AF98" s="404" t="str">
        <f t="shared" ca="1" si="103"/>
        <v/>
      </c>
      <c r="AG98" s="290">
        <f t="shared" ca="1" si="100"/>
        <v>0</v>
      </c>
      <c r="AH98" s="290" t="str">
        <f t="shared" ca="1" si="101"/>
        <v/>
      </c>
      <c r="AI98" s="290"/>
      <c r="AJ98" s="290"/>
      <c r="AK98" s="290"/>
      <c r="AL98" s="290"/>
      <c r="AM98" s="290"/>
      <c r="AN98" s="290"/>
      <c r="AO98" s="290"/>
      <c r="AP98" s="290"/>
      <c r="AQ98" s="290"/>
      <c r="AR98" s="290"/>
      <c r="AS98" s="290"/>
      <c r="AT98" s="290"/>
      <c r="AU98" s="290"/>
      <c r="AV98" s="293"/>
      <c r="AW98" s="293"/>
      <c r="AX98" s="293"/>
      <c r="AY98" s="293"/>
      <c r="AZ98" s="293"/>
      <c r="BA98" s="293"/>
      <c r="BB98" s="293"/>
      <c r="BC98" s="293"/>
      <c r="BD98" s="293"/>
      <c r="BE98" s="226"/>
      <c r="BF98" s="226"/>
      <c r="BG98" s="226"/>
      <c r="BH98" s="226"/>
      <c r="BI98" s="226"/>
      <c r="BJ98" s="226"/>
      <c r="BK98" s="226"/>
      <c r="BL98" s="226"/>
      <c r="BM98" s="226"/>
      <c r="BN98" s="226"/>
      <c r="BO98" s="226"/>
      <c r="BP98" s="226"/>
      <c r="BQ98" s="226"/>
      <c r="BR98" s="226"/>
      <c r="BS98" s="226"/>
      <c r="BT98" s="226"/>
      <c r="BU98" s="226"/>
      <c r="BV98" s="226"/>
      <c r="BW98" s="226"/>
      <c r="BX98" s="226"/>
      <c r="BY98" s="226"/>
      <c r="BZ98" s="226"/>
      <c r="CA98" s="226"/>
      <c r="CB98" s="226"/>
      <c r="CC98" s="226"/>
      <c r="CD98" s="226"/>
      <c r="CQ98" s="1006" t="str">
        <f>IF(OR($D$90&lt;&gt;"",$E$91&lt;&gt;$D$9),"","ES OBLIGATORIO PRESENTAR ESTE ANEXO JUNTO CON LA LIQUIDACIÓN DE DIETAS.")</f>
        <v/>
      </c>
      <c r="CR98" s="1006"/>
      <c r="CS98" s="1006"/>
      <c r="CT98" s="1006"/>
      <c r="CU98" s="1006"/>
      <c r="CV98" s="1006"/>
      <c r="CW98" s="1006"/>
      <c r="CX98" s="1006"/>
      <c r="CY98" s="435"/>
    </row>
    <row r="99" spans="2:103" s="246" customFormat="1" hidden="1" x14ac:dyDescent="0.25">
      <c r="J99" s="293"/>
      <c r="K99" s="290"/>
      <c r="L99" s="290"/>
      <c r="M99" s="290"/>
      <c r="N99" s="290"/>
      <c r="O99" s="290"/>
      <c r="P99" s="290"/>
      <c r="Q99" s="290"/>
      <c r="R99" s="290"/>
      <c r="S99" s="290"/>
      <c r="T99" s="290"/>
      <c r="U99" s="290"/>
      <c r="V99" s="290"/>
      <c r="W99" s="290" t="s">
        <v>252</v>
      </c>
      <c r="X99" s="367">
        <f>SUM(X90:X98)</f>
        <v>0</v>
      </c>
      <c r="Y99" s="277" t="str">
        <f t="shared" si="97"/>
        <v>€;</v>
      </c>
      <c r="Z99" s="943" t="s">
        <v>304</v>
      </c>
      <c r="AA99" s="945"/>
      <c r="AB99" s="399">
        <f>SUM(AB97:AB98)</f>
        <v>0</v>
      </c>
      <c r="AC99" s="399">
        <f ca="1">SUM(AC90:AC96)</f>
        <v>0</v>
      </c>
      <c r="AD99" s="277" t="s">
        <v>136</v>
      </c>
      <c r="AE99" s="367">
        <f t="shared" ca="1" si="99"/>
        <v>0</v>
      </c>
      <c r="AF99" s="404" t="str">
        <f t="shared" ca="1" si="103"/>
        <v/>
      </c>
      <c r="AG99" s="290">
        <f t="shared" ca="1" si="100"/>
        <v>0</v>
      </c>
      <c r="AH99" s="290" t="str">
        <f t="shared" ca="1" si="101"/>
        <v/>
      </c>
      <c r="AI99" s="290"/>
      <c r="AJ99" s="290"/>
      <c r="AK99" s="290"/>
      <c r="AL99" s="290"/>
      <c r="AM99" s="290"/>
      <c r="AN99" s="290"/>
      <c r="AO99" s="290"/>
      <c r="AP99" s="290"/>
      <c r="AQ99" s="290"/>
      <c r="AR99" s="290"/>
      <c r="AS99" s="290"/>
      <c r="AT99" s="290"/>
      <c r="AU99" s="290"/>
      <c r="AV99" s="293"/>
      <c r="AW99" s="293"/>
      <c r="AX99" s="293"/>
      <c r="AY99" s="293"/>
      <c r="AZ99" s="293"/>
      <c r="BA99" s="293"/>
      <c r="BB99" s="293"/>
      <c r="BC99" s="293"/>
      <c r="BD99" s="293"/>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226"/>
      <c r="CC99" s="226"/>
      <c r="CD99" s="226"/>
      <c r="CQ99" s="19"/>
      <c r="CR99" s="19"/>
      <c r="CS99" s="19"/>
      <c r="CT99" s="19"/>
      <c r="CU99" s="19"/>
      <c r="CV99" s="19"/>
      <c r="CW99" s="19"/>
      <c r="CX99" s="19"/>
      <c r="CY99" s="435"/>
    </row>
    <row r="100" spans="2:103" s="246" customFormat="1" ht="15.9" hidden="1" customHeight="1" x14ac:dyDescent="0.25">
      <c r="C100" s="293"/>
      <c r="D100" s="1286"/>
      <c r="E100" s="1124"/>
      <c r="F100" s="1124"/>
      <c r="J100" s="293"/>
      <c r="K100" s="290"/>
      <c r="L100" s="290"/>
      <c r="M100" s="290"/>
      <c r="N100" s="290"/>
      <c r="O100" s="290"/>
      <c r="P100" s="290"/>
      <c r="Q100" s="290"/>
      <c r="R100" s="290"/>
      <c r="S100" s="290"/>
      <c r="T100" s="290"/>
      <c r="U100" s="290"/>
      <c r="V100" s="290"/>
      <c r="W100" s="290" t="str">
        <f>IF(X98&lt;&gt;0,W90 &amp; " " &amp;W91 &amp;" " &amp; W92 &amp;" " &amp; W93 &amp; " "&amp;W94  &amp; " "&amp;W95  &amp; " "&amp;W96 &amp; " " &amp;W97&amp; " "&amp;W98,"")</f>
        <v xml:space="preserve">        </v>
      </c>
      <c r="X100" s="290"/>
      <c r="Y100" s="290"/>
      <c r="Z100" s="290"/>
      <c r="AA100" s="290"/>
      <c r="AB100" s="290"/>
      <c r="AC100" s="290"/>
      <c r="AD100" s="277" t="s">
        <v>151</v>
      </c>
      <c r="AE100" s="367">
        <f t="shared" ca="1" si="99"/>
        <v>0</v>
      </c>
      <c r="AF100" s="404" t="str">
        <f t="shared" ca="1" si="103"/>
        <v/>
      </c>
      <c r="AG100" s="290">
        <f t="shared" ca="1" si="100"/>
        <v>0</v>
      </c>
      <c r="AH100" s="290" t="str">
        <f t="shared" ca="1" si="101"/>
        <v/>
      </c>
      <c r="AI100" s="290"/>
      <c r="AJ100" s="290"/>
      <c r="AK100" s="290"/>
      <c r="AL100" s="290"/>
      <c r="AM100" s="290"/>
      <c r="AN100" s="290"/>
      <c r="AO100" s="290"/>
      <c r="AP100" s="290"/>
      <c r="AQ100" s="290"/>
      <c r="AR100" s="290"/>
      <c r="AS100" s="290"/>
      <c r="AT100" s="290"/>
      <c r="AU100" s="290"/>
      <c r="AV100" s="293"/>
      <c r="AW100" s="293"/>
      <c r="AX100" s="293"/>
      <c r="AY100" s="293"/>
      <c r="AZ100" s="293"/>
      <c r="BA100" s="293"/>
      <c r="BB100" s="293"/>
      <c r="BC100" s="293"/>
      <c r="BD100" s="293"/>
      <c r="BE100" s="226"/>
      <c r="BF100" s="226"/>
      <c r="BG100" s="226"/>
      <c r="BH100" s="226"/>
      <c r="BI100" s="226"/>
      <c r="BJ100" s="226"/>
      <c r="BK100" s="226"/>
      <c r="BL100" s="226"/>
      <c r="BM100" s="226"/>
      <c r="BN100" s="226"/>
      <c r="BO100" s="226"/>
      <c r="BP100" s="226"/>
      <c r="BQ100" s="226"/>
      <c r="BR100" s="226"/>
      <c r="BS100" s="226"/>
      <c r="BT100" s="226"/>
      <c r="BU100" s="226"/>
      <c r="BV100" s="226"/>
      <c r="BW100" s="226"/>
      <c r="BX100" s="226"/>
      <c r="BY100" s="226"/>
      <c r="BZ100" s="226"/>
      <c r="CA100" s="226"/>
      <c r="CB100" s="226"/>
      <c r="CC100" s="226"/>
      <c r="CD100" s="226"/>
      <c r="CQ100" s="19"/>
      <c r="CR100" s="293"/>
      <c r="CS100" s="1215"/>
      <c r="CT100" s="1008"/>
      <c r="CU100" s="1008"/>
      <c r="CV100" s="19"/>
      <c r="CW100" s="19"/>
      <c r="CX100" s="19"/>
      <c r="CY100" s="435"/>
    </row>
    <row r="101" spans="2:103" s="246" customFormat="1" hidden="1" x14ac:dyDescent="0.25">
      <c r="B101" s="437"/>
      <c r="C101" s="437"/>
      <c r="D101" s="437"/>
      <c r="E101" s="437"/>
      <c r="F101" s="437"/>
      <c r="G101" s="437"/>
      <c r="H101" s="610" t="s">
        <v>360</v>
      </c>
      <c r="I101" s="437"/>
      <c r="J101" s="293"/>
      <c r="K101" s="290"/>
      <c r="L101" s="290"/>
      <c r="M101" s="290"/>
      <c r="N101" s="290"/>
      <c r="O101" s="290"/>
      <c r="P101" s="290"/>
      <c r="Q101" s="290"/>
      <c r="R101" s="290"/>
      <c r="S101" s="290"/>
      <c r="T101" s="290"/>
      <c r="U101" s="290"/>
      <c r="V101" s="290"/>
      <c r="W101" s="1281" t="str">
        <f>IF(X99&lt;&gt;0,W90 &amp;" "  &amp; X90&amp;Y90&amp;" " &amp;W91 &amp;" " &amp;X91&amp;Y91&amp;"  " &amp; W92 &amp;" "&amp;X92&amp;Y92&amp;"  " &amp; W93&amp; X93&amp;Y93&amp;"  "&amp;W94  &amp; X94&amp;Y94&amp;"  "&amp; W95  &amp; X95&amp;Y95&amp;" "&amp; W96 &amp;X96&amp;Y96&amp; " " &amp;W97&amp; X97&amp;Y97&amp;" " &amp;W98&amp;X98&amp;Y98,"")</f>
        <v/>
      </c>
      <c r="X101" s="1281"/>
      <c r="Y101" s="1281"/>
      <c r="Z101" s="1281"/>
      <c r="AA101" s="1281"/>
      <c r="AB101" s="1281"/>
      <c r="AC101" s="290"/>
      <c r="AD101" s="290" t="s">
        <v>368</v>
      </c>
      <c r="AE101" s="367">
        <f t="shared" ca="1" si="99"/>
        <v>0</v>
      </c>
      <c r="AF101" s="404" t="str">
        <f t="shared" ca="1" si="103"/>
        <v/>
      </c>
      <c r="AG101" s="290"/>
      <c r="AH101" s="290"/>
      <c r="AI101" s="290"/>
      <c r="AJ101" s="290"/>
      <c r="AK101" s="290"/>
      <c r="AL101" s="290"/>
      <c r="AM101" s="290"/>
      <c r="AN101" s="290"/>
      <c r="AO101" s="290"/>
      <c r="AP101" s="290"/>
      <c r="AQ101" s="290"/>
      <c r="AR101" s="290"/>
      <c r="AS101" s="290"/>
      <c r="AT101" s="290"/>
      <c r="AU101" s="290"/>
      <c r="AV101" s="293"/>
      <c r="AW101" s="293"/>
      <c r="AX101" s="293"/>
      <c r="AY101" s="293"/>
      <c r="AZ101" s="293"/>
      <c r="BA101" s="293"/>
      <c r="BB101" s="293"/>
      <c r="BC101" s="293"/>
      <c r="BD101" s="293"/>
      <c r="BE101" s="226"/>
      <c r="BF101" s="226"/>
      <c r="BG101" s="226"/>
      <c r="BH101" s="226"/>
      <c r="BI101" s="226"/>
      <c r="BJ101" s="226"/>
      <c r="BK101" s="226"/>
      <c r="BL101" s="226"/>
      <c r="BM101" s="226"/>
      <c r="BN101" s="226"/>
      <c r="BO101" s="226"/>
      <c r="BP101" s="226"/>
      <c r="BQ101" s="226"/>
      <c r="BR101" s="226"/>
      <c r="BS101" s="226"/>
      <c r="BT101" s="226"/>
      <c r="BU101" s="226"/>
      <c r="BV101" s="226"/>
      <c r="BW101" s="226"/>
      <c r="BX101" s="226"/>
      <c r="BY101" s="226"/>
      <c r="BZ101" s="226"/>
      <c r="CA101" s="226"/>
      <c r="CB101" s="226"/>
      <c r="CC101" s="226"/>
      <c r="CD101" s="226"/>
      <c r="CQ101" s="19"/>
      <c r="CR101" s="19"/>
      <c r="CS101" s="19"/>
      <c r="CT101" s="19"/>
      <c r="CU101" s="19"/>
      <c r="CV101" s="19"/>
      <c r="CW101" s="379" t="str">
        <f>IF(OR($D$90&lt;&gt;"",$E$91&lt;&gt;$D$9),"","Hoja para la grabación.")</f>
        <v/>
      </c>
      <c r="CX101" s="19"/>
      <c r="CY101" s="435"/>
    </row>
    <row r="102" spans="2:103" s="246" customFormat="1" hidden="1" x14ac:dyDescent="0.25">
      <c r="B102" s="437"/>
      <c r="C102" s="437"/>
      <c r="D102" s="437"/>
      <c r="E102" s="437"/>
      <c r="F102" s="437"/>
      <c r="G102" s="437"/>
      <c r="H102" s="610" t="s">
        <v>359</v>
      </c>
      <c r="I102" s="437"/>
      <c r="J102" s="293"/>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t="str">
        <f ca="1">IF(AC99&gt;0,AF90&amp;""&amp;AF91&amp;""&amp;AF92&amp;""&amp;AF93&amp;""&amp;AF94&amp;""&amp;AF95&amp;""&amp;AF96&amp;""&amp;AF97&amp;""&amp;AF98&amp;""&amp;AF99&amp;""&amp;AF100&amp;""&amp;AF101&amp;AD89,"""")</f>
        <v>"</v>
      </c>
      <c r="AG102" s="290"/>
      <c r="AH102" s="290"/>
      <c r="AI102" s="290"/>
      <c r="AJ102" s="290"/>
      <c r="AK102" s="290"/>
      <c r="AL102" s="290"/>
      <c r="AM102" s="290"/>
      <c r="AN102" s="290"/>
      <c r="AO102" s="290"/>
      <c r="AP102" s="290"/>
      <c r="AQ102" s="290"/>
      <c r="AR102" s="290"/>
      <c r="AS102" s="290"/>
      <c r="AT102" s="290"/>
      <c r="AU102" s="290"/>
      <c r="AV102" s="293"/>
      <c r="AW102" s="293"/>
      <c r="AX102" s="293"/>
      <c r="AY102" s="293"/>
      <c r="AZ102" s="293"/>
      <c r="BA102" s="293"/>
      <c r="BB102" s="293"/>
      <c r="BC102" s="293"/>
      <c r="BD102" s="293"/>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226"/>
      <c r="CC102" s="226"/>
      <c r="CD102" s="226"/>
      <c r="CQ102" s="19"/>
      <c r="CR102" s="19"/>
      <c r="CS102" s="19"/>
      <c r="CT102" s="19"/>
      <c r="CU102" s="19"/>
      <c r="CV102" s="19"/>
      <c r="CW102" s="379" t="str">
        <f>IF(OR($D$90&lt;&gt;"",$E$91&lt;&gt;$D$9),"","Adjunte esta hoja.")</f>
        <v/>
      </c>
      <c r="CX102" s="19"/>
      <c r="CY102" s="435"/>
    </row>
    <row r="103" spans="2:103" s="246" customFormat="1" hidden="1" x14ac:dyDescent="0.25">
      <c r="B103" s="437"/>
      <c r="C103" s="437"/>
      <c r="D103" s="437"/>
      <c r="E103" s="437"/>
      <c r="F103" s="437"/>
      <c r="G103" s="437"/>
      <c r="H103" s="437"/>
      <c r="I103" s="437"/>
      <c r="J103" s="293"/>
      <c r="K103" s="290"/>
      <c r="L103" s="290"/>
      <c r="M103" s="290"/>
      <c r="N103" s="290"/>
      <c r="O103" s="290"/>
      <c r="P103" s="290"/>
      <c r="Q103" s="290"/>
      <c r="R103" s="290"/>
      <c r="S103" s="290"/>
      <c r="T103" s="290"/>
      <c r="U103" s="290"/>
      <c r="V103" s="290"/>
      <c r="W103" s="290" t="s">
        <v>303</v>
      </c>
      <c r="X103" s="369">
        <f>SUM(F74:F75)</f>
        <v>0</v>
      </c>
      <c r="Y103" s="290"/>
      <c r="Z103" s="290"/>
      <c r="AA103" s="290"/>
      <c r="AB103" s="290"/>
      <c r="AC103" s="290"/>
      <c r="AD103" s="290"/>
      <c r="AE103" s="290"/>
      <c r="AF103" s="543" t="str">
        <f>IF(AB99&gt;0,AH90&amp;""&amp;AH91&amp;""&amp;AH92&amp;""&amp;AH93&amp;""&amp;AH95&amp;""&amp;AH96&amp;""&amp;AH97&amp;""&amp;AH98&amp;""&amp;AH99&amp;""&amp;AH100,"")</f>
        <v/>
      </c>
      <c r="AG103" s="290"/>
      <c r="AH103" s="290"/>
      <c r="AI103" s="290"/>
      <c r="AJ103" s="290"/>
      <c r="AK103" s="290"/>
      <c r="AL103" s="290"/>
      <c r="AM103" s="290"/>
      <c r="AN103" s="290"/>
      <c r="AO103" s="290"/>
      <c r="AP103" s="290"/>
      <c r="AQ103" s="290"/>
      <c r="AR103" s="290"/>
      <c r="AS103" s="290"/>
      <c r="AT103" s="290"/>
      <c r="AU103" s="290"/>
      <c r="AV103" s="293"/>
      <c r="AW103" s="293"/>
      <c r="AX103" s="293"/>
      <c r="AY103" s="293"/>
      <c r="AZ103" s="293"/>
      <c r="BA103" s="293"/>
      <c r="BB103" s="293"/>
      <c r="BC103" s="293"/>
      <c r="BD103" s="293"/>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Q103" s="19"/>
      <c r="CR103" s="19"/>
      <c r="CS103" s="19"/>
      <c r="CT103" s="19"/>
      <c r="CU103" s="19"/>
      <c r="CV103" s="19"/>
      <c r="CW103" s="19"/>
      <c r="CX103" s="19"/>
      <c r="CY103" s="435"/>
    </row>
    <row r="104" spans="2:103" ht="15" hidden="1" customHeight="1" x14ac:dyDescent="0.25">
      <c r="B104" s="611" t="s">
        <v>341</v>
      </c>
      <c r="C104" s="1257">
        <f>D9</f>
        <v>0</v>
      </c>
      <c r="D104" s="1258"/>
      <c r="E104" s="1258"/>
      <c r="F104" s="1258"/>
      <c r="G104" s="1258"/>
      <c r="H104" s="1258"/>
      <c r="I104" s="1259"/>
      <c r="J104" s="275"/>
      <c r="K104" s="276"/>
      <c r="L104" s="276"/>
      <c r="M104" s="276"/>
      <c r="N104" s="276"/>
      <c r="O104" s="276"/>
      <c r="P104" s="276"/>
      <c r="Q104" s="276"/>
      <c r="R104" s="276"/>
      <c r="S104" s="276"/>
      <c r="T104" s="276"/>
      <c r="U104" s="276"/>
      <c r="V104" s="276"/>
      <c r="W104" s="276"/>
      <c r="CQ104" s="460" t="str">
        <f>IF(OR($D$90&lt;&gt;"",$E$91&lt;&gt;$D$9),"",B104)</f>
        <v/>
      </c>
      <c r="CR104" s="973" t="str">
        <f>IF(OR($D$90&lt;&gt;"",$E$91&lt;&gt;$D$9),"",C104)</f>
        <v/>
      </c>
      <c r="CS104" s="974"/>
      <c r="CT104" s="974"/>
      <c r="CU104" s="974"/>
      <c r="CV104" s="974"/>
      <c r="CW104" s="974"/>
      <c r="CX104" s="975"/>
    </row>
    <row r="105" spans="2:103" ht="15" hidden="1" customHeight="1" x14ac:dyDescent="0.25">
      <c r="B105" s="612"/>
      <c r="C105" s="613"/>
      <c r="D105" s="613"/>
      <c r="E105" s="613"/>
      <c r="F105" s="613"/>
      <c r="G105" s="613"/>
      <c r="H105" s="613"/>
      <c r="I105" s="613"/>
      <c r="J105" s="275"/>
      <c r="K105" s="276"/>
      <c r="L105" s="276"/>
      <c r="M105" s="276"/>
      <c r="N105" s="276"/>
      <c r="O105" s="276"/>
      <c r="P105" s="276"/>
      <c r="Q105" s="276"/>
      <c r="R105" s="276"/>
      <c r="S105" s="276"/>
      <c r="T105" s="276"/>
      <c r="U105" s="276"/>
      <c r="V105" s="276"/>
      <c r="W105" s="276" t="s">
        <v>304</v>
      </c>
      <c r="X105" s="279">
        <f>X99</f>
        <v>0</v>
      </c>
      <c r="Y105" s="276" t="s">
        <v>305</v>
      </c>
      <c r="CQ105" s="439"/>
      <c r="CR105" s="131"/>
      <c r="CS105" s="131"/>
      <c r="CT105" s="131"/>
      <c r="CU105" s="131"/>
      <c r="CV105" s="131"/>
      <c r="CW105" s="131"/>
      <c r="CX105" s="131"/>
    </row>
    <row r="106" spans="2:103" ht="15" hidden="1" customHeight="1" x14ac:dyDescent="0.25">
      <c r="B106" s="611" t="s">
        <v>342</v>
      </c>
      <c r="C106" s="1257">
        <f>C10</f>
        <v>0</v>
      </c>
      <c r="D106" s="1258"/>
      <c r="E106" s="1258"/>
      <c r="F106" s="1258"/>
      <c r="G106" s="1258"/>
      <c r="H106" s="1258"/>
      <c r="I106" s="1259"/>
      <c r="J106" s="275"/>
      <c r="K106" s="276"/>
      <c r="L106" s="276"/>
      <c r="M106" s="276"/>
      <c r="N106" s="276"/>
      <c r="O106" s="276"/>
      <c r="P106" s="276"/>
      <c r="Q106" s="276"/>
      <c r="R106" s="276"/>
      <c r="S106" s="276"/>
      <c r="T106" s="276"/>
      <c r="U106" s="276"/>
      <c r="V106" s="276"/>
      <c r="W106" s="276" t="s">
        <v>285</v>
      </c>
      <c r="X106" s="285">
        <f>X6+X27+X47+X67</f>
        <v>0</v>
      </c>
      <c r="Y106" s="276" t="s">
        <v>305</v>
      </c>
      <c r="CQ106" s="460" t="str">
        <f t="shared" ref="CQ106:CR110" si="104">IF(OR($D$90&lt;&gt;"",$E$91&lt;&gt;$D$9),"",B106)</f>
        <v/>
      </c>
      <c r="CR106" s="973" t="str">
        <f t="shared" si="104"/>
        <v/>
      </c>
      <c r="CS106" s="974"/>
      <c r="CT106" s="974"/>
      <c r="CU106" s="974"/>
      <c r="CV106" s="974"/>
      <c r="CW106" s="974"/>
      <c r="CX106" s="975"/>
    </row>
    <row r="107" spans="2:103" ht="15" hidden="1" customHeight="1" x14ac:dyDescent="0.25">
      <c r="B107" s="611" t="s">
        <v>265</v>
      </c>
      <c r="C107" s="1257">
        <f>C12</f>
        <v>0</v>
      </c>
      <c r="D107" s="1258"/>
      <c r="E107" s="1258"/>
      <c r="F107" s="1258"/>
      <c r="G107" s="1258"/>
      <c r="H107" s="1258"/>
      <c r="I107" s="1259"/>
      <c r="J107" s="275"/>
      <c r="K107" s="276"/>
      <c r="L107" s="276"/>
      <c r="M107" s="276"/>
      <c r="N107" s="276"/>
      <c r="O107" s="276"/>
      <c r="P107" s="276"/>
      <c r="Q107" s="276"/>
      <c r="R107" s="276"/>
      <c r="S107" s="276"/>
      <c r="T107" s="276"/>
      <c r="U107" s="276"/>
      <c r="V107" s="276"/>
      <c r="W107" s="276" t="s">
        <v>287</v>
      </c>
      <c r="X107" s="285">
        <f>X14+X35+X55+X75</f>
        <v>0</v>
      </c>
      <c r="Y107" s="276" t="s">
        <v>305</v>
      </c>
      <c r="CQ107" s="460" t="str">
        <f t="shared" si="104"/>
        <v/>
      </c>
      <c r="CR107" s="973" t="str">
        <f t="shared" si="104"/>
        <v/>
      </c>
      <c r="CS107" s="974"/>
      <c r="CT107" s="974"/>
      <c r="CU107" s="974"/>
      <c r="CV107" s="974"/>
      <c r="CW107" s="974"/>
      <c r="CX107" s="975"/>
    </row>
    <row r="108" spans="2:103" ht="15" hidden="1" customHeight="1" x14ac:dyDescent="0.25">
      <c r="B108" s="614" t="s">
        <v>266</v>
      </c>
      <c r="C108" s="1257">
        <f>H12</f>
        <v>0</v>
      </c>
      <c r="D108" s="1258"/>
      <c r="E108" s="1258"/>
      <c r="F108" s="1258"/>
      <c r="G108" s="1258"/>
      <c r="H108" s="1258"/>
      <c r="I108" s="1259"/>
      <c r="J108" s="275"/>
      <c r="K108" s="276"/>
      <c r="L108" s="276"/>
      <c r="M108" s="276"/>
      <c r="N108" s="276"/>
      <c r="O108" s="276"/>
      <c r="P108" s="276"/>
      <c r="Q108" s="276"/>
      <c r="R108" s="276"/>
      <c r="S108" s="276"/>
      <c r="T108" s="276"/>
      <c r="U108" s="276"/>
      <c r="V108" s="276"/>
      <c r="W108" s="276" t="s">
        <v>288</v>
      </c>
      <c r="X108" s="279">
        <f>SUM(X105:X107)</f>
        <v>0</v>
      </c>
      <c r="Y108" s="276" t="s">
        <v>305</v>
      </c>
      <c r="CQ108" s="460" t="str">
        <f t="shared" si="104"/>
        <v/>
      </c>
      <c r="CR108" s="973" t="str">
        <f t="shared" si="104"/>
        <v/>
      </c>
      <c r="CS108" s="974"/>
      <c r="CT108" s="975"/>
      <c r="CU108" s="1203" t="str">
        <f>IF(OR($D$90&lt;&gt;"",$E$91&lt;&gt;$D$9),"",W26&amp;" "&amp;W46&amp;" "&amp;W66)</f>
        <v/>
      </c>
      <c r="CV108" s="1204"/>
      <c r="CW108" s="1204"/>
      <c r="CX108" s="1205"/>
    </row>
    <row r="109" spans="2:103" ht="15" hidden="1" customHeight="1" x14ac:dyDescent="0.25">
      <c r="B109" s="611" t="s">
        <v>343</v>
      </c>
      <c r="C109" s="1257">
        <f>C11</f>
        <v>0</v>
      </c>
      <c r="D109" s="1258"/>
      <c r="E109" s="1258"/>
      <c r="F109" s="1258"/>
      <c r="G109" s="1258"/>
      <c r="H109" s="1258"/>
      <c r="I109" s="1259"/>
      <c r="J109" s="275"/>
      <c r="K109" s="276"/>
      <c r="L109" s="276"/>
      <c r="M109" s="276"/>
      <c r="N109" s="276"/>
      <c r="O109" s="276"/>
      <c r="P109" s="276"/>
      <c r="Q109" s="276"/>
      <c r="R109" s="276"/>
      <c r="S109" s="276"/>
      <c r="T109" s="276"/>
      <c r="U109" s="276"/>
      <c r="V109" s="276"/>
      <c r="W109" s="276"/>
      <c r="CQ109" s="460" t="str">
        <f t="shared" si="104"/>
        <v/>
      </c>
      <c r="CR109" s="973" t="str">
        <f t="shared" si="104"/>
        <v/>
      </c>
      <c r="CS109" s="974"/>
      <c r="CT109" s="974"/>
      <c r="CU109" s="974"/>
      <c r="CV109" s="974"/>
      <c r="CW109" s="974"/>
      <c r="CX109" s="975"/>
    </row>
    <row r="110" spans="2:103" ht="15" hidden="1" customHeight="1" x14ac:dyDescent="0.25">
      <c r="B110" s="1255" t="s">
        <v>344</v>
      </c>
      <c r="C110" s="1247" t="str">
        <f>X3</f>
        <v xml:space="preserve">T. Nacional: del  al     -T. Extranjero  del    al      del    al      del    al  </v>
      </c>
      <c r="D110" s="1247"/>
      <c r="E110" s="1247"/>
      <c r="F110" s="1247"/>
      <c r="G110" s="1247"/>
      <c r="H110" s="1247"/>
      <c r="I110" s="1247"/>
      <c r="J110" s="275"/>
      <c r="K110" s="276"/>
      <c r="L110" s="276"/>
      <c r="M110" s="276"/>
      <c r="N110" s="276"/>
      <c r="O110" s="276"/>
      <c r="P110" s="276"/>
      <c r="Q110" s="276"/>
      <c r="R110" s="276"/>
      <c r="S110" s="276"/>
      <c r="T110" s="276"/>
      <c r="U110" s="276"/>
      <c r="V110" s="276"/>
      <c r="W110" s="356" t="str">
        <f>X108&amp;Y108&amp;" " &amp;W108&amp; " "  &amp;W105&amp; " " &amp;X105&amp;Y105&amp; " " &amp;W106&amp; " " &amp;X106&amp;Y106&amp; " " &amp;W107&amp; " " &amp;X107&amp;Y107</f>
        <v>0€ Desglosado en: TOTAL LOCOMOCION 0€ TOTAL ALOJAMIENTO 0€ TOTAL MANUTENCIÓN 0€</v>
      </c>
      <c r="X110" s="356"/>
      <c r="Y110" s="356"/>
      <c r="Z110" s="356"/>
      <c r="AA110" s="356"/>
      <c r="AB110" s="356"/>
      <c r="AC110" s="316"/>
      <c r="AD110" s="316"/>
      <c r="AE110" s="364"/>
      <c r="AF110" s="364"/>
      <c r="AG110" s="364"/>
      <c r="AH110" s="364"/>
      <c r="AI110" s="364"/>
      <c r="AJ110" s="364"/>
      <c r="AK110" s="364"/>
      <c r="AL110" s="364"/>
      <c r="AM110" s="364"/>
      <c r="AN110" s="364"/>
      <c r="CQ110" s="1210" t="str">
        <f t="shared" si="104"/>
        <v/>
      </c>
      <c r="CR110" s="1212" t="str">
        <f t="shared" si="104"/>
        <v/>
      </c>
      <c r="CS110" s="1212"/>
      <c r="CT110" s="1212"/>
      <c r="CU110" s="1212"/>
      <c r="CV110" s="1212"/>
      <c r="CW110" s="1212"/>
      <c r="CX110" s="1212"/>
    </row>
    <row r="111" spans="2:103" ht="15" hidden="1" customHeight="1" thickBot="1" x14ac:dyDescent="0.3">
      <c r="B111" s="1256"/>
      <c r="C111" s="1247"/>
      <c r="D111" s="1247"/>
      <c r="E111" s="1247"/>
      <c r="F111" s="1247"/>
      <c r="G111" s="1247"/>
      <c r="H111" s="1247"/>
      <c r="I111" s="1247"/>
      <c r="J111" s="275"/>
      <c r="K111" s="276"/>
      <c r="L111" s="276"/>
      <c r="M111" s="276"/>
      <c r="N111" s="276"/>
      <c r="O111" s="276"/>
      <c r="P111" s="276"/>
      <c r="Q111" s="276"/>
      <c r="R111" s="276"/>
      <c r="S111" s="276"/>
      <c r="T111" s="276"/>
      <c r="U111" s="276"/>
      <c r="V111" s="276"/>
      <c r="W111" s="276"/>
      <c r="CQ111" s="1211"/>
      <c r="CR111" s="1213"/>
      <c r="CS111" s="1213"/>
      <c r="CT111" s="1213"/>
      <c r="CU111" s="1213"/>
      <c r="CV111" s="1213"/>
      <c r="CW111" s="1213"/>
      <c r="CX111" s="1213"/>
    </row>
    <row r="112" spans="2:103" ht="15" hidden="1" customHeight="1" thickTop="1" x14ac:dyDescent="0.25">
      <c r="B112" s="615"/>
      <c r="C112" s="616"/>
      <c r="D112" s="617"/>
      <c r="E112" s="617"/>
      <c r="F112" s="617"/>
      <c r="G112" s="617"/>
      <c r="H112" s="617"/>
      <c r="I112" s="618"/>
      <c r="J112" s="275"/>
      <c r="K112" s="276"/>
      <c r="L112" s="276"/>
      <c r="M112" s="276"/>
      <c r="N112" s="276"/>
      <c r="O112" s="276"/>
      <c r="P112" s="276"/>
      <c r="Q112" s="276"/>
      <c r="R112" s="276"/>
      <c r="S112" s="276"/>
      <c r="T112" s="276"/>
      <c r="U112" s="276"/>
      <c r="V112" s="276"/>
      <c r="W112" s="276"/>
      <c r="CQ112" s="575"/>
      <c r="CR112" s="1342"/>
      <c r="CS112" s="1343"/>
      <c r="CT112" s="1343"/>
      <c r="CU112" s="1343"/>
      <c r="CV112" s="1343"/>
      <c r="CW112" s="1344"/>
      <c r="CX112" s="576" t="str">
        <f>IF(OR($D$90&lt;&gt;"",$E$91&lt;&gt;$D$9),"","Otra Ayuda")</f>
        <v/>
      </c>
    </row>
    <row r="113" spans="2:102" ht="15" hidden="1" customHeight="1" x14ac:dyDescent="0.25">
      <c r="B113" s="1320" t="s">
        <v>364</v>
      </c>
      <c r="C113" s="1257" t="str">
        <f>AD10</f>
        <v/>
      </c>
      <c r="D113" s="1258"/>
      <c r="E113" s="1258"/>
      <c r="F113" s="1258"/>
      <c r="G113" s="1258"/>
      <c r="H113" s="1258"/>
      <c r="I113" s="1259"/>
      <c r="J113" s="275"/>
      <c r="K113" s="276"/>
      <c r="L113" s="276"/>
      <c r="M113" s="276"/>
      <c r="N113" s="276"/>
      <c r="O113" s="276"/>
      <c r="P113" s="276"/>
      <c r="Q113" s="276"/>
      <c r="R113" s="276"/>
      <c r="S113" s="276"/>
      <c r="T113" s="276"/>
      <c r="U113" s="276"/>
      <c r="V113" s="276"/>
      <c r="W113" s="276"/>
      <c r="CQ113" s="1200" t="str">
        <f>IF(OR($D$90&lt;&gt;"",$E$91&lt;&gt;$D$9),"","ALOJAMIENTOS ")</f>
        <v/>
      </c>
      <c r="CR113" s="1339" t="str">
        <f>IF(OR($D$90&lt;&gt;"",$E$91&lt;&gt;$D$9),"",CS135)</f>
        <v/>
      </c>
      <c r="CS113" s="1340"/>
      <c r="CT113" s="1340"/>
      <c r="CU113" s="1340"/>
      <c r="CV113" s="1340"/>
      <c r="CW113" s="1341"/>
      <c r="CX113" s="577" t="str">
        <f>IF(OR($D$90&lt;&gt;"",$E$91&lt;&gt;$D$9),"",IF(L21&lt;0,"",L21))</f>
        <v/>
      </c>
    </row>
    <row r="114" spans="2:102" ht="15" hidden="1" customHeight="1" x14ac:dyDescent="0.25">
      <c r="B114" s="1321"/>
      <c r="C114" s="1257" t="str">
        <f>AD28&amp;" "&amp;AD29</f>
        <v xml:space="preserve">  0 noche a €/N €; </v>
      </c>
      <c r="D114" s="1258"/>
      <c r="E114" s="1258"/>
      <c r="F114" s="1258"/>
      <c r="G114" s="1258"/>
      <c r="H114" s="1258"/>
      <c r="I114" s="1259"/>
      <c r="J114" s="275"/>
      <c r="K114" s="276"/>
      <c r="L114" s="276"/>
      <c r="M114" s="276"/>
      <c r="N114" s="276"/>
      <c r="O114" s="276"/>
      <c r="P114" s="276"/>
      <c r="Q114" s="276"/>
      <c r="R114" s="276"/>
      <c r="S114" s="276"/>
      <c r="T114" s="276"/>
      <c r="U114" s="276"/>
      <c r="V114" s="276"/>
      <c r="W114" s="276"/>
      <c r="CQ114" s="1201"/>
      <c r="CR114" s="1339" t="str">
        <f>IF(OR($D$90&lt;&gt;"",$E$91&lt;&gt;$D$9),"",CS138)</f>
        <v/>
      </c>
      <c r="CS114" s="1340"/>
      <c r="CT114" s="1340"/>
      <c r="CU114" s="1340"/>
      <c r="CV114" s="1340"/>
      <c r="CW114" s="1341"/>
      <c r="CX114" s="577" t="str">
        <f>IF(OR($D$90&lt;&gt;"",$E$91&lt;&gt;$D$9),"",IF(L36&lt;0,"",L36))</f>
        <v/>
      </c>
    </row>
    <row r="115" spans="2:102" ht="15" hidden="1" customHeight="1" x14ac:dyDescent="0.25">
      <c r="B115" s="1322" t="e">
        <f>SUM(AC7+AC8+AC28+AC29+AC48+AC49+AC68+AC69)</f>
        <v>#VALUE!</v>
      </c>
      <c r="C115" s="1257" t="str">
        <f>AD48&amp;" "&amp;AD49</f>
        <v xml:space="preserve">  0 noche a €/N €; </v>
      </c>
      <c r="D115" s="1258"/>
      <c r="E115" s="1258"/>
      <c r="F115" s="1258"/>
      <c r="G115" s="1258"/>
      <c r="H115" s="1258"/>
      <c r="I115" s="1259"/>
      <c r="J115" s="275"/>
      <c r="K115" s="276"/>
      <c r="L115" s="276"/>
      <c r="M115" s="276"/>
      <c r="N115" s="276"/>
      <c r="O115" s="276"/>
      <c r="P115" s="276"/>
      <c r="Q115" s="276"/>
      <c r="R115" s="276"/>
      <c r="S115" s="276"/>
      <c r="T115" s="276"/>
      <c r="U115" s="276"/>
      <c r="V115" s="276"/>
      <c r="W115" s="276"/>
      <c r="CQ115" s="1201"/>
      <c r="CR115" s="1339" t="str">
        <f>IF(OR($D$90&lt;&gt;"",$E$91&lt;&gt;$D$9),"",AD49)</f>
        <v/>
      </c>
      <c r="CS115" s="1340"/>
      <c r="CT115" s="1340"/>
      <c r="CU115" s="1340"/>
      <c r="CV115" s="1340"/>
      <c r="CW115" s="1341"/>
      <c r="CX115" s="577" t="str">
        <f>IF(OR($D$90&lt;&gt;"",$E$91&lt;&gt;$D$9),"",IF(L49&lt;0,"",L49))</f>
        <v/>
      </c>
    </row>
    <row r="116" spans="2:102" ht="15" hidden="1" customHeight="1" thickBot="1" x14ac:dyDescent="0.3">
      <c r="B116" s="1323"/>
      <c r="C116" s="1257" t="str">
        <f>AD68&amp;" "&amp;AD69</f>
        <v xml:space="preserve"> 0 noche a  €/N €; </v>
      </c>
      <c r="D116" s="1258"/>
      <c r="E116" s="1258"/>
      <c r="F116" s="1258"/>
      <c r="G116" s="1258"/>
      <c r="H116" s="1258"/>
      <c r="I116" s="1259"/>
      <c r="J116" s="275"/>
      <c r="K116" s="276"/>
      <c r="L116" s="276"/>
      <c r="M116" s="276"/>
      <c r="N116" s="276"/>
      <c r="O116" s="276"/>
      <c r="P116" s="276"/>
      <c r="Q116" s="276"/>
      <c r="R116" s="276"/>
      <c r="S116" s="276"/>
      <c r="T116" s="276"/>
      <c r="U116" s="276"/>
      <c r="V116" s="276"/>
      <c r="W116" s="276"/>
      <c r="CQ116" s="1202"/>
      <c r="CR116" s="1345" t="str">
        <f>IF(OR($D$90&lt;&gt;"",$E$91&lt;&gt;$D$9),"",AD69)</f>
        <v/>
      </c>
      <c r="CS116" s="1346"/>
      <c r="CT116" s="1346"/>
      <c r="CU116" s="1346"/>
      <c r="CV116" s="1346"/>
      <c r="CW116" s="1347"/>
      <c r="CX116" s="578" t="str">
        <f>IF(OR($D$90&lt;&gt;"",$E$91&lt;&gt;$D$9),"",IF(L58&lt;0,"",L58))</f>
        <v/>
      </c>
    </row>
    <row r="117" spans="2:102" ht="15" hidden="1" customHeight="1" thickTop="1" x14ac:dyDescent="0.25">
      <c r="B117" s="1320" t="s">
        <v>365</v>
      </c>
      <c r="C117" s="1244" t="str">
        <f>AD9</f>
        <v/>
      </c>
      <c r="D117" s="1331"/>
      <c r="E117" s="1331"/>
      <c r="F117" s="1331"/>
      <c r="G117" s="1331"/>
      <c r="H117" s="1331"/>
      <c r="I117" s="1331"/>
      <c r="J117" s="275"/>
      <c r="K117" s="276"/>
      <c r="L117" s="276"/>
      <c r="M117" s="276"/>
      <c r="N117" s="276"/>
      <c r="O117" s="276"/>
      <c r="P117" s="276"/>
      <c r="Q117" s="276"/>
      <c r="R117" s="276"/>
      <c r="S117" s="276"/>
      <c r="T117" s="276"/>
      <c r="U117" s="276"/>
      <c r="V117" s="276"/>
      <c r="W117" s="276"/>
      <c r="CQ117" s="1206" t="str">
        <f>IF(OR($D$90&lt;&gt;"",$E$91&lt;&gt;$D$9),"","ALOJAMIENTOS PAGOS A TERCEROS")</f>
        <v/>
      </c>
      <c r="CR117" s="1348" t="str">
        <f>IF(OR($D$90&lt;&gt;"",$E$91&lt;&gt;$D$9),"",AD9)</f>
        <v/>
      </c>
      <c r="CS117" s="1348"/>
      <c r="CT117" s="1348"/>
      <c r="CU117" s="1348"/>
      <c r="CV117" s="1348"/>
      <c r="CW117" s="1348"/>
      <c r="CX117" s="580" t="str">
        <f>IF(OR($D$90&lt;&gt;"",$E$91&lt;&gt;$D$9),"",IF(L22&lt;0,"",L22))</f>
        <v/>
      </c>
    </row>
    <row r="118" spans="2:102" ht="15" hidden="1" customHeight="1" x14ac:dyDescent="0.25">
      <c r="B118" s="1321"/>
      <c r="C118" s="1243" t="str">
        <f>AD30</f>
        <v/>
      </c>
      <c r="D118" s="1243"/>
      <c r="E118" s="1243"/>
      <c r="F118" s="1243"/>
      <c r="G118" s="1243"/>
      <c r="H118" s="1243"/>
      <c r="I118" s="1244"/>
      <c r="J118" s="275"/>
      <c r="K118" s="276"/>
      <c r="L118" s="276"/>
      <c r="M118" s="276"/>
      <c r="N118" s="276"/>
      <c r="O118" s="276"/>
      <c r="P118" s="276"/>
      <c r="Q118" s="276"/>
      <c r="R118" s="276"/>
      <c r="S118" s="276"/>
      <c r="T118" s="276"/>
      <c r="U118" s="276"/>
      <c r="V118" s="276"/>
      <c r="W118" s="276"/>
      <c r="CQ118" s="1207"/>
      <c r="CR118" s="1332" t="str">
        <f>IF(OR($D$90&lt;&gt;"",$E$91&lt;&gt;$D$9),"",AD30)</f>
        <v/>
      </c>
      <c r="CS118" s="1332"/>
      <c r="CT118" s="1332"/>
      <c r="CU118" s="1332"/>
      <c r="CV118" s="1332"/>
      <c r="CW118" s="1332"/>
      <c r="CX118" s="581" t="str">
        <f>IF(OR($D$90&lt;&gt;"",$E$91&lt;&gt;$D$9),"",IF(L37&lt;0,"",L37))</f>
        <v/>
      </c>
    </row>
    <row r="119" spans="2:102" ht="15" hidden="1" customHeight="1" x14ac:dyDescent="0.25">
      <c r="B119" s="1322">
        <f>SUM(AC9+AC30+AC50+AC70)</f>
        <v>0</v>
      </c>
      <c r="C119" s="1243" t="str">
        <f>AD50</f>
        <v/>
      </c>
      <c r="D119" s="1243"/>
      <c r="E119" s="1243"/>
      <c r="F119" s="1243"/>
      <c r="G119" s="1243"/>
      <c r="H119" s="1243"/>
      <c r="I119" s="1244"/>
      <c r="J119" s="275"/>
      <c r="K119" s="276"/>
      <c r="L119" s="276"/>
      <c r="M119" s="276"/>
      <c r="N119" s="276"/>
      <c r="O119" s="276"/>
      <c r="P119" s="276"/>
      <c r="Q119" s="276"/>
      <c r="R119" s="276"/>
      <c r="S119" s="276"/>
      <c r="T119" s="276"/>
      <c r="U119" s="276"/>
      <c r="V119" s="276"/>
      <c r="W119" s="276"/>
      <c r="CQ119" s="1208"/>
      <c r="CR119" s="1332" t="str">
        <f>IF(OR($D$90&lt;&gt;"",$E$91&lt;&gt;$D$9),"",AD50)</f>
        <v/>
      </c>
      <c r="CS119" s="1332"/>
      <c r="CT119" s="1332"/>
      <c r="CU119" s="1332"/>
      <c r="CV119" s="1332"/>
      <c r="CW119" s="1332"/>
      <c r="CX119" s="581" t="str">
        <f>IF(OR($D$90&lt;&gt;"",$E$91&lt;&gt;$D$9),"",IF(L50&lt;0,"",L50))</f>
        <v/>
      </c>
    </row>
    <row r="120" spans="2:102" ht="15" hidden="1" customHeight="1" thickBot="1" x14ac:dyDescent="0.3">
      <c r="B120" s="1324"/>
      <c r="C120" s="1243" t="str">
        <f>AD70</f>
        <v/>
      </c>
      <c r="D120" s="1243"/>
      <c r="E120" s="1243"/>
      <c r="F120" s="1243"/>
      <c r="G120" s="1243"/>
      <c r="H120" s="1243"/>
      <c r="I120" s="1244"/>
      <c r="J120" s="275"/>
      <c r="K120" s="276"/>
      <c r="L120" s="276"/>
      <c r="M120" s="276"/>
      <c r="N120" s="276"/>
      <c r="O120" s="276"/>
      <c r="P120" s="276"/>
      <c r="Q120" s="276"/>
      <c r="R120" s="276"/>
      <c r="S120" s="276"/>
      <c r="T120" s="276"/>
      <c r="U120" s="276"/>
      <c r="V120" s="276"/>
      <c r="W120" s="276"/>
      <c r="CQ120" s="1209"/>
      <c r="CR120" s="1333" t="str">
        <f>IF(OR($D$90&lt;&gt;"",$E$91&lt;&gt;$D$9),"",AD70)</f>
        <v/>
      </c>
      <c r="CS120" s="1333"/>
      <c r="CT120" s="1333"/>
      <c r="CU120" s="1333"/>
      <c r="CV120" s="1333"/>
      <c r="CW120" s="1333"/>
      <c r="CX120" s="582" t="str">
        <f>IF(OR($D$90&lt;&gt;"",$E$91&lt;&gt;$D$9),"",IF(L59&lt;0,"",L59))</f>
        <v/>
      </c>
    </row>
    <row r="121" spans="2:102" ht="15" hidden="1" customHeight="1" thickTop="1" x14ac:dyDescent="0.25">
      <c r="B121" s="1328" t="s">
        <v>366</v>
      </c>
      <c r="C121" s="1257" t="str">
        <f>AF21</f>
        <v/>
      </c>
      <c r="D121" s="1258"/>
      <c r="E121" s="1258"/>
      <c r="F121" s="1258"/>
      <c r="G121" s="1258"/>
      <c r="H121" s="1258"/>
      <c r="I121" s="1259"/>
      <c r="J121" s="275"/>
      <c r="K121" s="276"/>
      <c r="L121" s="276"/>
      <c r="M121" s="276"/>
      <c r="N121" s="276"/>
      <c r="O121" s="276"/>
      <c r="P121" s="276"/>
      <c r="Q121" s="276"/>
      <c r="R121" s="276"/>
      <c r="S121" s="276"/>
      <c r="T121" s="276"/>
      <c r="U121" s="276"/>
      <c r="V121" s="276"/>
      <c r="W121" s="276"/>
      <c r="CQ121" s="1217" t="str">
        <f>IF(OR($D$90&lt;&gt;"",$E$91&lt;&gt;$D$9),"",B121)</f>
        <v/>
      </c>
      <c r="CR121" s="1176" t="str">
        <f>IF(OR($D$90&lt;&gt;"",$E$91&lt;&gt;$D$9),"",IF(OR($D$90&lt;&gt;"",$D$91&lt;&gt;$D$9),"",C121))</f>
        <v/>
      </c>
      <c r="CS121" s="1177"/>
      <c r="CT121" s="1177"/>
      <c r="CU121" s="1177"/>
      <c r="CV121" s="1177"/>
      <c r="CW121" s="1177"/>
      <c r="CX121" s="1178"/>
    </row>
    <row r="122" spans="2:102" ht="15" hidden="1" customHeight="1" x14ac:dyDescent="0.25">
      <c r="B122" s="1329"/>
      <c r="C122" s="1257" t="str">
        <f>AD40</f>
        <v/>
      </c>
      <c r="D122" s="1258"/>
      <c r="E122" s="1258"/>
      <c r="F122" s="1258"/>
      <c r="G122" s="1258"/>
      <c r="H122" s="1258"/>
      <c r="I122" s="1259"/>
      <c r="J122" s="275"/>
      <c r="K122" s="276"/>
      <c r="L122" s="276"/>
      <c r="M122" s="276"/>
      <c r="N122" s="276"/>
      <c r="O122" s="276"/>
      <c r="P122" s="276"/>
      <c r="Q122" s="276"/>
      <c r="R122" s="276"/>
      <c r="S122" s="276"/>
      <c r="T122" s="276"/>
      <c r="U122" s="276"/>
      <c r="V122" s="276"/>
      <c r="W122" s="276"/>
      <c r="CQ122" s="1218"/>
      <c r="CR122" s="1179" t="str">
        <f>IF(OR($D$90&lt;&gt;"",$E$91&lt;&gt;$D$9),"",IF(OR($D$90&lt;&gt;"",$D$91&lt;&gt;$D$9),"",C122))</f>
        <v/>
      </c>
      <c r="CS122" s="974"/>
      <c r="CT122" s="974"/>
      <c r="CU122" s="974"/>
      <c r="CV122" s="974"/>
      <c r="CW122" s="974"/>
      <c r="CX122" s="1180"/>
    </row>
    <row r="123" spans="2:102" ht="15" hidden="1" customHeight="1" x14ac:dyDescent="0.25">
      <c r="B123" s="1330"/>
      <c r="C123" s="1325" t="str">
        <f>AD60</f>
        <v/>
      </c>
      <c r="D123" s="1326"/>
      <c r="E123" s="1326"/>
      <c r="F123" s="1326"/>
      <c r="G123" s="1326"/>
      <c r="H123" s="1326"/>
      <c r="I123" s="1327"/>
      <c r="J123" s="275"/>
      <c r="K123" s="276"/>
      <c r="L123" s="276"/>
      <c r="M123" s="276"/>
      <c r="N123" s="276"/>
      <c r="O123" s="276"/>
      <c r="P123" s="276"/>
      <c r="Q123" s="276"/>
      <c r="R123" s="276"/>
      <c r="S123" s="276"/>
      <c r="T123" s="276"/>
      <c r="U123" s="276"/>
      <c r="V123" s="276"/>
      <c r="W123" s="276"/>
      <c r="CQ123" s="1218"/>
      <c r="CR123" s="1181" t="str">
        <f>IF(OR($D$90&lt;&gt;"",$E$91&lt;&gt;$D$9),"",IF(OR($D$90&lt;&gt;"",$D$91&lt;&gt;$D$9),"",C123))</f>
        <v/>
      </c>
      <c r="CS123" s="1182"/>
      <c r="CT123" s="1182"/>
      <c r="CU123" s="1182"/>
      <c r="CV123" s="1182"/>
      <c r="CW123" s="1182"/>
      <c r="CX123" s="1183"/>
    </row>
    <row r="124" spans="2:102" ht="15" hidden="1" customHeight="1" thickBot="1" x14ac:dyDescent="0.3">
      <c r="B124" s="1330"/>
      <c r="C124" s="1257" t="str">
        <f>AD80</f>
        <v/>
      </c>
      <c r="D124" s="1258"/>
      <c r="E124" s="1258"/>
      <c r="F124" s="1258"/>
      <c r="G124" s="1258"/>
      <c r="H124" s="1258"/>
      <c r="I124" s="1259"/>
      <c r="J124" s="275"/>
      <c r="K124" s="276"/>
      <c r="L124" s="276"/>
      <c r="M124" s="276"/>
      <c r="N124" s="276"/>
      <c r="O124" s="276"/>
      <c r="P124" s="276"/>
      <c r="Q124" s="276"/>
      <c r="R124" s="276"/>
      <c r="S124" s="276"/>
      <c r="T124" s="276"/>
      <c r="U124" s="276"/>
      <c r="V124" s="276"/>
      <c r="W124" s="276"/>
      <c r="CQ124" s="1219"/>
      <c r="CR124" s="1184" t="str">
        <f>IF(OR($D$90&lt;&gt;"",$E$91&lt;&gt;$D$9),"",IF(OR($D$90&lt;&gt;"",$D$91&lt;&gt;$D$9),"",C124))</f>
        <v/>
      </c>
      <c r="CS124" s="1185"/>
      <c r="CT124" s="1185"/>
      <c r="CU124" s="1185"/>
      <c r="CV124" s="1185"/>
      <c r="CW124" s="1185"/>
      <c r="CX124" s="1186"/>
    </row>
    <row r="125" spans="2:102" ht="15" hidden="1" customHeight="1" thickTop="1" x14ac:dyDescent="0.25">
      <c r="B125" s="619" t="s">
        <v>369</v>
      </c>
      <c r="C125" s="1297" t="str">
        <f ca="1">AF102</f>
        <v>"</v>
      </c>
      <c r="D125" s="1298"/>
      <c r="E125" s="1298"/>
      <c r="F125" s="1298"/>
      <c r="G125" s="1298"/>
      <c r="H125" s="1298"/>
      <c r="I125" s="1299"/>
      <c r="J125" s="275"/>
      <c r="K125" s="276"/>
      <c r="L125" s="276"/>
      <c r="M125" s="276"/>
      <c r="N125" s="276"/>
      <c r="O125" s="276"/>
      <c r="P125" s="276"/>
      <c r="Q125" s="276"/>
      <c r="R125" s="276"/>
      <c r="S125" s="276"/>
      <c r="T125" s="276"/>
      <c r="U125" s="276"/>
      <c r="V125" s="276"/>
      <c r="W125" s="276"/>
      <c r="CQ125" s="579" t="str">
        <f>IF(OR($D$90&lt;&gt;"",$E$91&lt;&gt;$D$9),"",B125)</f>
        <v/>
      </c>
      <c r="CR125" s="1187" t="str">
        <f>IF(OR($D$90&lt;&gt;"",$E$91&lt;&gt;$D$9),"",IF(OR($D$90&lt;&gt;"",$D$91&lt;&gt;$D$9),"",C125))</f>
        <v/>
      </c>
      <c r="CS125" s="1188"/>
      <c r="CT125" s="1188"/>
      <c r="CU125" s="1188"/>
      <c r="CV125" s="1188"/>
      <c r="CW125" s="1188"/>
      <c r="CX125" s="1189"/>
    </row>
    <row r="126" spans="2:102" ht="15" hidden="1" customHeight="1" thickBot="1" x14ac:dyDescent="0.3">
      <c r="B126" s="620"/>
      <c r="C126" s="1300"/>
      <c r="D126" s="1301"/>
      <c r="E126" s="1301"/>
      <c r="F126" s="1301"/>
      <c r="G126" s="1301"/>
      <c r="H126" s="1301"/>
      <c r="I126" s="1302"/>
      <c r="J126" s="275"/>
      <c r="K126" s="276"/>
      <c r="L126" s="276"/>
      <c r="M126" s="276"/>
      <c r="N126" s="276"/>
      <c r="O126" s="276"/>
      <c r="P126" s="276"/>
      <c r="Q126" s="276"/>
      <c r="R126" s="276"/>
      <c r="S126" s="276"/>
      <c r="T126" s="276"/>
      <c r="U126" s="276"/>
      <c r="V126" s="276"/>
      <c r="W126" s="276"/>
      <c r="CQ126" s="574"/>
      <c r="CR126" s="1190"/>
      <c r="CS126" s="1191"/>
      <c r="CT126" s="1191"/>
      <c r="CU126" s="1191"/>
      <c r="CV126" s="1191"/>
      <c r="CW126" s="1191"/>
      <c r="CX126" s="1192"/>
    </row>
    <row r="127" spans="2:102" ht="15" hidden="1" customHeight="1" thickTop="1" x14ac:dyDescent="0.25">
      <c r="B127" s="611" t="s">
        <v>370</v>
      </c>
      <c r="C127" s="1296" t="str">
        <f>IF(AB99&gt;0,Z97&amp;" "&amp;AB97&amp;Y90&amp;" "&amp;Z98&amp;" "&amp;AB98&amp;Y90,"")</f>
        <v/>
      </c>
      <c r="D127" s="1243"/>
      <c r="E127" s="1243"/>
      <c r="F127" s="1243"/>
      <c r="G127" s="1243"/>
      <c r="H127" s="1243"/>
      <c r="I127" s="1244"/>
      <c r="J127" s="275"/>
      <c r="K127" s="276"/>
      <c r="L127" s="276"/>
      <c r="M127" s="276"/>
      <c r="N127" s="276"/>
      <c r="O127" s="276"/>
      <c r="P127" s="276"/>
      <c r="Q127" s="276"/>
      <c r="R127" s="276"/>
      <c r="S127" s="276"/>
      <c r="T127" s="276"/>
      <c r="U127" s="276"/>
      <c r="V127" s="276"/>
      <c r="W127" s="276"/>
      <c r="CQ127" s="460" t="str">
        <f>IF(OR($D$90&lt;&gt;"",$E$91&lt;&gt;$D$9),"",B127)</f>
        <v/>
      </c>
      <c r="CR127" s="1193" t="str">
        <f>IF(OR($D$90&lt;&gt;"",$E$91&lt;&gt;$D$9),"",IF(OR($D$90&lt;&gt;"",$D$91&lt;&gt;$D$9),"",AF103))</f>
        <v/>
      </c>
      <c r="CS127" s="1194"/>
      <c r="CT127" s="1194"/>
      <c r="CU127" s="1194"/>
      <c r="CV127" s="1194"/>
      <c r="CW127" s="1194"/>
      <c r="CX127" s="1195"/>
    </row>
    <row r="128" spans="2:102" ht="15" hidden="1" customHeight="1" x14ac:dyDescent="0.25">
      <c r="B128" s="611" t="s">
        <v>345</v>
      </c>
      <c r="C128" s="621">
        <f>F74</f>
        <v>0</v>
      </c>
      <c r="D128" s="1305" t="s">
        <v>371</v>
      </c>
      <c r="E128" s="1306"/>
      <c r="F128" s="1306"/>
      <c r="G128" s="1307"/>
      <c r="H128" s="622">
        <f>F75</f>
        <v>0</v>
      </c>
      <c r="I128" s="263"/>
      <c r="J128" s="275"/>
      <c r="K128" s="276"/>
      <c r="L128" s="276"/>
      <c r="M128" s="276"/>
      <c r="N128" s="276"/>
      <c r="O128" s="276"/>
      <c r="P128" s="276"/>
      <c r="Q128" s="276"/>
      <c r="R128" s="276"/>
      <c r="S128" s="276"/>
      <c r="T128" s="276"/>
      <c r="U128" s="276"/>
      <c r="V128" s="276"/>
      <c r="W128" s="276"/>
      <c r="CQ128" s="460" t="str">
        <f>IF(OR($D$90&lt;&gt;"",$E$91&lt;&gt;$D$9),"",B128)</f>
        <v/>
      </c>
      <c r="CR128" s="532" t="str">
        <f>IF(OR($D$90&lt;&gt;"",$E$91&lt;&gt;$D$9),"",C128)</f>
        <v/>
      </c>
      <c r="CS128" s="1196" t="str">
        <f>IF(OR($D$90&lt;&gt;"",$D$91&lt;&gt;$D$9),"",D128)</f>
        <v/>
      </c>
      <c r="CT128" s="1197"/>
      <c r="CU128" s="1197"/>
      <c r="CV128" s="1198"/>
      <c r="CW128" s="533" t="str">
        <f>IF(OR($D$90&lt;&gt;"",$E$91&lt;&gt;$D$9),"",H128)</f>
        <v/>
      </c>
    </row>
    <row r="129" spans="2:102" ht="15" hidden="1" customHeight="1" x14ac:dyDescent="0.25">
      <c r="B129" s="611" t="s">
        <v>346</v>
      </c>
      <c r="C129" s="1308" t="str">
        <f>Z2</f>
        <v xml:space="preserve"> al  </v>
      </c>
      <c r="D129" s="1309"/>
      <c r="E129" s="1309"/>
      <c r="F129" s="1309"/>
      <c r="G129" s="1309"/>
      <c r="H129" s="1309"/>
      <c r="I129" s="1310"/>
      <c r="J129" s="275"/>
      <c r="K129" s="276"/>
      <c r="L129" s="276"/>
      <c r="M129" s="276"/>
      <c r="N129" s="276"/>
      <c r="O129" s="276"/>
      <c r="P129" s="276"/>
      <c r="Q129" s="276"/>
      <c r="R129" s="276"/>
      <c r="S129" s="276"/>
      <c r="T129" s="276"/>
      <c r="U129" s="276"/>
      <c r="V129" s="276"/>
      <c r="W129" s="276"/>
      <c r="CQ129" s="460" t="str">
        <f>IF(OR($D$90&lt;&gt;"",$E$91&lt;&gt;$D$9),"",B129)</f>
        <v/>
      </c>
      <c r="CR129" s="1203" t="str">
        <f>IF(OR($D$90&lt;&gt;"",$E$91&lt;&gt;$D$9),"",IF(OR($D$90&lt;&gt;"",$D$91&lt;&gt;$D$9),"",C129))</f>
        <v/>
      </c>
      <c r="CS129" s="1204"/>
      <c r="CT129" s="1204"/>
      <c r="CU129" s="1204"/>
      <c r="CV129" s="1204"/>
      <c r="CW129" s="1204"/>
      <c r="CX129" s="1205"/>
    </row>
    <row r="130" spans="2:102" hidden="1" x14ac:dyDescent="0.25">
      <c r="B130" s="611" t="s">
        <v>347</v>
      </c>
      <c r="C130" s="623">
        <f>G74</f>
        <v>0</v>
      </c>
      <c r="D130" s="1311" t="s">
        <v>372</v>
      </c>
      <c r="E130" s="1312"/>
      <c r="F130" s="1312"/>
      <c r="G130" s="1313"/>
      <c r="H130" s="624">
        <f>G75</f>
        <v>0</v>
      </c>
      <c r="I130" s="625"/>
      <c r="J130" s="275"/>
      <c r="K130" s="276"/>
      <c r="L130" s="276"/>
      <c r="M130" s="276"/>
      <c r="N130" s="276"/>
      <c r="O130" s="276"/>
      <c r="P130" s="276"/>
      <c r="Q130" s="276"/>
      <c r="R130" s="276"/>
      <c r="S130" s="276"/>
      <c r="T130" s="276"/>
      <c r="U130" s="276"/>
      <c r="V130" s="276"/>
      <c r="W130" s="276"/>
      <c r="CQ130" s="460" t="str">
        <f>IF(OR($D$90&lt;&gt;"",$E$91&lt;&gt;$D$9),"",B130)</f>
        <v/>
      </c>
      <c r="CR130" s="509" t="str">
        <f>IF(OR($D$90&lt;&gt;"",$E$91&lt;&gt;$D$9),"",C130)</f>
        <v/>
      </c>
      <c r="CS130" s="976" t="str">
        <f>IF(OR($D$90&lt;&gt;"",$D$91&lt;&gt;$D$9),"",D130)</f>
        <v/>
      </c>
      <c r="CT130" s="977"/>
      <c r="CU130" s="977"/>
      <c r="CV130" s="1169"/>
      <c r="CW130" s="461" t="str">
        <f>IF(OR($D$90&lt;&gt;"",$E$91&lt;&gt;$D$9),"",H130)</f>
        <v/>
      </c>
      <c r="CX130" s="534"/>
    </row>
    <row r="131" spans="2:102" hidden="1" x14ac:dyDescent="0.25">
      <c r="B131" s="1303" t="str">
        <f>B81</f>
        <v>¿Desea renunciar a una parte?</v>
      </c>
      <c r="C131" s="1303" t="str">
        <f>C81</f>
        <v>Elija la Opción    ▼</v>
      </c>
      <c r="D131" s="1314"/>
      <c r="E131" s="1315"/>
      <c r="F131" s="1315"/>
      <c r="G131" s="1315"/>
      <c r="H131" s="1315"/>
      <c r="I131" s="1316"/>
      <c r="J131" s="275"/>
      <c r="K131" s="276"/>
      <c r="L131" s="276"/>
      <c r="M131" s="276"/>
      <c r="N131" s="276"/>
      <c r="O131" s="276"/>
      <c r="P131" s="276"/>
      <c r="Q131" s="276"/>
      <c r="R131" s="276"/>
      <c r="S131" s="276"/>
      <c r="T131" s="276"/>
      <c r="U131" s="276"/>
      <c r="V131" s="276"/>
      <c r="W131" s="276"/>
      <c r="CQ131" s="980" t="str">
        <f>IF(OR($D$90&lt;&gt;"",$E$91&lt;&gt;$D$9),"",B131)</f>
        <v/>
      </c>
      <c r="CR131" s="980" t="str">
        <f>IF(OR($D$90&lt;&gt;"",$E$91&lt;&gt;$D$9),"",C131)</f>
        <v/>
      </c>
      <c r="CS131" s="1170"/>
      <c r="CT131" s="1171"/>
      <c r="CU131" s="1171"/>
      <c r="CV131" s="1171"/>
      <c r="CW131" s="1171"/>
      <c r="CX131" s="1172"/>
    </row>
    <row r="132" spans="2:102" hidden="1" x14ac:dyDescent="0.25">
      <c r="B132" s="1304"/>
      <c r="C132" s="1304"/>
      <c r="D132" s="1317"/>
      <c r="E132" s="1318"/>
      <c r="F132" s="1318"/>
      <c r="G132" s="1318"/>
      <c r="H132" s="1318"/>
      <c r="I132" s="1319"/>
      <c r="J132" s="275"/>
      <c r="K132" s="276"/>
      <c r="L132" s="276"/>
      <c r="M132" s="276"/>
      <c r="N132" s="276"/>
      <c r="O132" s="276"/>
      <c r="P132" s="276"/>
      <c r="Q132" s="276"/>
      <c r="R132" s="276"/>
      <c r="S132" s="276"/>
      <c r="T132" s="276"/>
      <c r="U132" s="276"/>
      <c r="V132" s="276"/>
      <c r="W132" s="276"/>
      <c r="CQ132" s="981"/>
      <c r="CR132" s="981"/>
      <c r="CS132" s="1173"/>
      <c r="CT132" s="1174"/>
      <c r="CU132" s="1174"/>
      <c r="CV132" s="1174"/>
      <c r="CW132" s="1174"/>
      <c r="CX132" s="1175"/>
    </row>
    <row r="133" spans="2:102" ht="13.8" hidden="1" thickBot="1" x14ac:dyDescent="0.3">
      <c r="B133"/>
      <c r="C133"/>
      <c r="D133"/>
      <c r="E133"/>
      <c r="F133"/>
      <c r="G133"/>
      <c r="H133"/>
      <c r="I133"/>
      <c r="J133" s="275"/>
      <c r="K133" s="276"/>
      <c r="L133" s="276"/>
      <c r="M133" s="276"/>
      <c r="N133" s="276"/>
      <c r="O133" s="276"/>
      <c r="P133" s="276"/>
      <c r="Q133" s="276"/>
      <c r="R133" s="276"/>
      <c r="S133" s="276"/>
      <c r="T133" s="276"/>
      <c r="U133" s="276"/>
      <c r="V133" s="276"/>
      <c r="W133" s="276"/>
      <c r="CQ133" s="585" t="str">
        <f>IF(OR($D$90&lt;&gt;"",$E$91&lt;&gt;$D$9),"","€;")</f>
        <v/>
      </c>
      <c r="CR133" s="114" t="str">
        <f>IF(OR($D$90&lt;&gt;"",$E$91&lt;&gt;$D$9),"","INSCR.")</f>
        <v/>
      </c>
      <c r="CS133"/>
      <c r="CT133"/>
      <c r="CU133"/>
      <c r="CV133"/>
      <c r="CW133"/>
      <c r="CX133"/>
    </row>
    <row r="134" spans="2:102" ht="13.8" hidden="1" thickTop="1" x14ac:dyDescent="0.25">
      <c r="B134"/>
      <c r="C134"/>
      <c r="D134"/>
      <c r="E134"/>
      <c r="F134"/>
      <c r="G134"/>
      <c r="H134"/>
      <c r="I134"/>
      <c r="J134" s="275"/>
      <c r="K134" s="276"/>
      <c r="L134" s="276"/>
      <c r="M134" s="276"/>
      <c r="N134" s="276"/>
      <c r="O134" s="276"/>
      <c r="P134" s="276"/>
      <c r="Q134" s="276"/>
      <c r="R134" s="276"/>
      <c r="S134" s="276"/>
      <c r="T134" s="276"/>
      <c r="U134" s="276"/>
      <c r="V134" s="276"/>
      <c r="W134" s="276"/>
      <c r="CQ134" s="1334" t="str">
        <f>IF(OR($D$90&lt;&gt;"",$E$91&lt;&gt;$D$9),"","ALOJAMIENTOS")</f>
        <v/>
      </c>
      <c r="CR134" s="1335"/>
      <c r="CS134" s="1335"/>
      <c r="CT134" s="1335"/>
      <c r="CU134" s="1335"/>
      <c r="CV134" s="1335"/>
      <c r="CW134" s="1335"/>
      <c r="CX134" s="1336"/>
    </row>
    <row r="135" spans="2:102" ht="15" hidden="1" x14ac:dyDescent="0.25">
      <c r="B135"/>
      <c r="C135"/>
      <c r="D135"/>
      <c r="E135"/>
      <c r="F135"/>
      <c r="G135"/>
      <c r="H135"/>
      <c r="I135"/>
      <c r="J135" s="275"/>
      <c r="K135" s="276"/>
      <c r="L135" s="276"/>
      <c r="M135" s="276"/>
      <c r="N135" s="276"/>
      <c r="O135" s="276"/>
      <c r="P135" s="276"/>
      <c r="Q135" s="276"/>
      <c r="R135" s="276"/>
      <c r="S135" s="276"/>
      <c r="T135" s="276"/>
      <c r="U135" s="276"/>
      <c r="V135" s="276"/>
      <c r="W135" s="276"/>
      <c r="CQ135" s="643" t="str">
        <f>IF(OR($D$90&lt;&gt;"",$E$91&lt;&gt;$D$9),"",AQ6)</f>
        <v/>
      </c>
      <c r="CR135" s="554"/>
      <c r="CS135" s="1166" t="str">
        <f>IF(OR($D$90&lt;&gt;"",$E$91&lt;&gt;$D$9),"",AU6)</f>
        <v/>
      </c>
      <c r="CT135" s="1167"/>
      <c r="CU135" s="1167"/>
      <c r="CV135" s="1167"/>
      <c r="CW135" s="1167"/>
      <c r="CX135" s="1168"/>
    </row>
    <row r="136" spans="2:102" ht="15" hidden="1" x14ac:dyDescent="0.25">
      <c r="B136"/>
      <c r="C136"/>
      <c r="D136"/>
      <c r="E136"/>
      <c r="F136"/>
      <c r="G136"/>
      <c r="H136"/>
      <c r="I136"/>
      <c r="J136" s="275"/>
      <c r="K136" s="276"/>
      <c r="L136" s="276"/>
      <c r="M136" s="276"/>
      <c r="N136" s="276"/>
      <c r="O136" s="276"/>
      <c r="P136" s="276"/>
      <c r="Q136" s="276"/>
      <c r="R136" s="276"/>
      <c r="S136" s="276"/>
      <c r="T136" s="276"/>
      <c r="U136" s="276"/>
      <c r="V136" s="276"/>
      <c r="W136" s="276"/>
      <c r="CQ136" s="1165" t="str">
        <f>IF(OR($D$90&lt;&gt;"",$E$91&lt;&gt;$D$9),"",AQ7)</f>
        <v/>
      </c>
      <c r="CR136" s="1165"/>
      <c r="CS136" s="1165" t="str">
        <f>IF(OR($D$90&lt;&gt;"",$E$91&lt;&gt;$D$9),"",AV9)</f>
        <v/>
      </c>
      <c r="CT136" s="1165"/>
      <c r="CU136" s="1165"/>
      <c r="CV136" s="1165"/>
      <c r="CW136" s="1165"/>
      <c r="CX136" s="1165"/>
    </row>
    <row r="137" spans="2:102" ht="15" hidden="1" x14ac:dyDescent="0.25">
      <c r="B137"/>
      <c r="C137"/>
      <c r="D137"/>
      <c r="E137"/>
      <c r="F137"/>
      <c r="G137"/>
      <c r="H137"/>
      <c r="I137"/>
      <c r="J137" s="275"/>
      <c r="K137" s="276"/>
      <c r="L137" s="276"/>
      <c r="M137" s="276"/>
      <c r="N137" s="276"/>
      <c r="O137" s="276"/>
      <c r="P137" s="276"/>
      <c r="Q137" s="276"/>
      <c r="R137" s="276"/>
      <c r="S137" s="276"/>
      <c r="T137" s="276"/>
      <c r="U137" s="276"/>
      <c r="V137" s="276"/>
      <c r="W137" s="276"/>
      <c r="CQ137" s="1165" t="str">
        <f>IF(OR($D$90&lt;&gt;"",$E$91&lt;&gt;$D$9),"",AQ8)</f>
        <v/>
      </c>
      <c r="CR137" s="1165"/>
      <c r="CS137" s="1165" t="str">
        <f>IF(OR($D$90&lt;&gt;"",$E$91&lt;&gt;$D$9),"",AV10)</f>
        <v/>
      </c>
      <c r="CT137" s="1165"/>
      <c r="CU137" s="1165"/>
      <c r="CV137" s="1165"/>
      <c r="CW137" s="1165"/>
      <c r="CX137" s="1165"/>
    </row>
    <row r="138" spans="2:102" ht="15" hidden="1" x14ac:dyDescent="0.25">
      <c r="B138"/>
      <c r="C138"/>
      <c r="D138"/>
      <c r="E138"/>
      <c r="F138"/>
      <c r="G138"/>
      <c r="H138"/>
      <c r="I138"/>
      <c r="J138" s="275"/>
      <c r="K138" s="276"/>
      <c r="L138" s="276"/>
      <c r="M138" s="276"/>
      <c r="N138" s="276"/>
      <c r="O138" s="276"/>
      <c r="P138" s="276"/>
      <c r="Q138" s="276"/>
      <c r="R138" s="276"/>
      <c r="S138" s="276"/>
      <c r="T138" s="276"/>
      <c r="U138" s="276"/>
      <c r="V138" s="276"/>
      <c r="W138" s="276"/>
      <c r="CQ138" s="1165" t="str">
        <f>IF(OR($D$90&lt;&gt;"",$E$91&lt;&gt;$D$9),"",AQ9)</f>
        <v/>
      </c>
      <c r="CR138" s="1165"/>
      <c r="CS138" s="1165" t="str">
        <f>IF(OR($D$90&lt;&gt;"",$E$91&lt;&gt;$D$9),"",AV11)</f>
        <v/>
      </c>
      <c r="CT138" s="1165"/>
      <c r="CU138" s="1165"/>
      <c r="CV138" s="1165"/>
      <c r="CW138" s="1165"/>
      <c r="CX138" s="1165"/>
    </row>
    <row r="139" spans="2:102" ht="15" hidden="1" x14ac:dyDescent="0.25">
      <c r="B139"/>
      <c r="C139"/>
      <c r="D139"/>
      <c r="E139"/>
      <c r="F139"/>
      <c r="G139"/>
      <c r="H139"/>
      <c r="I139"/>
      <c r="J139" s="275"/>
      <c r="K139" s="276"/>
      <c r="L139" s="276"/>
      <c r="M139" s="276"/>
      <c r="N139" s="276"/>
      <c r="O139" s="276"/>
      <c r="P139" s="276"/>
      <c r="Q139" s="276"/>
      <c r="R139" s="276"/>
      <c r="S139" s="276"/>
      <c r="T139" s="276"/>
      <c r="U139" s="276"/>
      <c r="V139" s="276"/>
      <c r="W139" s="276"/>
      <c r="CQ139" s="1165" t="str">
        <f>IF(OR($D$90&lt;&gt;"",$E$91&lt;&gt;$D$9),"",AQ10)</f>
        <v/>
      </c>
      <c r="CR139" s="1165"/>
      <c r="CS139" s="1165" t="str">
        <f>IF(OR($D$90&lt;&gt;"",$E$91&lt;&gt;$D$9),"",AV12)</f>
        <v/>
      </c>
      <c r="CT139" s="1165"/>
      <c r="CU139" s="1165"/>
      <c r="CV139" s="1165"/>
      <c r="CW139" s="1165"/>
      <c r="CX139" s="1165"/>
    </row>
    <row r="140" spans="2:102" ht="15" hidden="1" x14ac:dyDescent="0.25">
      <c r="B140"/>
      <c r="C140"/>
      <c r="D140"/>
      <c r="E140"/>
      <c r="F140"/>
      <c r="G140"/>
      <c r="H140"/>
      <c r="I140"/>
      <c r="J140" s="275"/>
      <c r="K140" s="276"/>
      <c r="L140" s="276"/>
      <c r="M140" s="276"/>
      <c r="N140" s="276"/>
      <c r="O140" s="276"/>
      <c r="P140" s="276"/>
      <c r="Q140" s="276"/>
      <c r="R140" s="276"/>
      <c r="S140" s="276"/>
      <c r="T140" s="276"/>
      <c r="U140" s="276"/>
      <c r="V140" s="276"/>
      <c r="W140" s="276"/>
      <c r="CQ140" s="594"/>
      <c r="CR140" s="583"/>
      <c r="CS140" s="1162"/>
      <c r="CT140" s="1163"/>
      <c r="CU140" s="1163"/>
      <c r="CV140" s="1163"/>
      <c r="CW140" s="1163"/>
      <c r="CX140" s="1164"/>
    </row>
    <row r="141" spans="2:102" ht="15" hidden="1" x14ac:dyDescent="0.25">
      <c r="B141"/>
      <c r="C141"/>
      <c r="D141"/>
      <c r="E141"/>
      <c r="F141"/>
      <c r="G141"/>
      <c r="H141"/>
      <c r="I141"/>
      <c r="J141" s="275"/>
      <c r="K141" s="276"/>
      <c r="L141" s="276"/>
      <c r="M141" s="276"/>
      <c r="N141" s="276"/>
      <c r="O141" s="276"/>
      <c r="P141" s="276"/>
      <c r="Q141" s="276"/>
      <c r="R141" s="276"/>
      <c r="S141" s="276"/>
      <c r="T141" s="276"/>
      <c r="U141" s="276"/>
      <c r="V141" s="276"/>
      <c r="W141" s="276"/>
      <c r="CQ141" s="603"/>
      <c r="CR141" s="584"/>
      <c r="CS141" s="604"/>
      <c r="CT141" s="592"/>
      <c r="CU141" s="592"/>
      <c r="CV141" s="592"/>
      <c r="CW141" s="592"/>
      <c r="CX141" s="593"/>
    </row>
    <row r="142" spans="2:102" ht="13.8" hidden="1" thickBot="1" x14ac:dyDescent="0.3">
      <c r="B142"/>
      <c r="C142"/>
      <c r="D142"/>
      <c r="E142"/>
      <c r="F142"/>
      <c r="G142"/>
      <c r="H142"/>
      <c r="I142"/>
      <c r="J142" s="275"/>
      <c r="K142" s="276"/>
      <c r="L142" s="276"/>
      <c r="M142" s="276"/>
      <c r="N142" s="276"/>
      <c r="O142" s="276"/>
      <c r="P142" s="276"/>
      <c r="Q142" s="276"/>
      <c r="R142" s="276"/>
      <c r="S142" s="276"/>
      <c r="T142" s="276"/>
      <c r="U142" s="276"/>
      <c r="V142" s="276"/>
      <c r="W142" s="276"/>
      <c r="CQ142"/>
      <c r="CR142"/>
      <c r="CS142"/>
      <c r="CT142"/>
      <c r="CU142"/>
      <c r="CV142"/>
      <c r="CW142"/>
      <c r="CX142"/>
    </row>
    <row r="143" spans="2:102" ht="16.2" hidden="1" thickTop="1" thickBot="1" x14ac:dyDescent="0.3">
      <c r="B143"/>
      <c r="C143"/>
      <c r="D143"/>
      <c r="E143"/>
      <c r="F143"/>
      <c r="G143"/>
      <c r="H143"/>
      <c r="I143"/>
      <c r="J143" s="275"/>
      <c r="K143" s="276"/>
      <c r="L143" s="276"/>
      <c r="M143" s="276"/>
      <c r="N143" s="276"/>
      <c r="O143" s="276"/>
      <c r="P143" s="276"/>
      <c r="Q143" s="276"/>
      <c r="R143" s="276"/>
      <c r="S143" s="276"/>
      <c r="T143" s="276"/>
      <c r="U143" s="276"/>
      <c r="V143" s="276"/>
      <c r="W143" s="276"/>
      <c r="CQ143" s="605" t="str">
        <f>IF(OR($D$90&lt;&gt;"",$E$91&lt;&gt;$D$9),"",AQ14)</f>
        <v/>
      </c>
      <c r="CR143" s="606"/>
      <c r="CS143" s="607"/>
      <c r="CT143" s="589"/>
      <c r="CU143" s="589"/>
      <c r="CV143" s="589"/>
      <c r="CW143" s="589"/>
      <c r="CX143" s="590"/>
    </row>
    <row r="144" spans="2:102" ht="15.6" hidden="1" thickTop="1" x14ac:dyDescent="0.25">
      <c r="B144"/>
      <c r="C144"/>
      <c r="D144"/>
      <c r="E144"/>
      <c r="F144"/>
      <c r="G144"/>
      <c r="H144"/>
      <c r="I144"/>
      <c r="J144" s="275"/>
      <c r="K144" s="276"/>
      <c r="L144" s="276"/>
      <c r="M144" s="276"/>
      <c r="N144" s="276"/>
      <c r="O144" s="276"/>
      <c r="P144" s="276"/>
      <c r="Q144" s="276"/>
      <c r="R144" s="276"/>
      <c r="S144" s="276"/>
      <c r="T144" s="276"/>
      <c r="U144" s="276"/>
      <c r="V144" s="276"/>
      <c r="W144" s="276"/>
      <c r="CQ144" s="594" t="str">
        <f>IF(OR($D$90&lt;&gt;"",$E$91&lt;&gt;$D$9),"",AR17)</f>
        <v/>
      </c>
      <c r="CR144" s="588"/>
      <c r="CS144" s="588"/>
      <c r="CT144" s="588"/>
      <c r="CU144" s="588"/>
      <c r="CV144" s="588"/>
      <c r="CW144" s="588"/>
      <c r="CX144" s="591"/>
    </row>
    <row r="145" spans="2:102" ht="15" hidden="1" x14ac:dyDescent="0.25">
      <c r="B145"/>
      <c r="C145"/>
      <c r="D145"/>
      <c r="E145"/>
      <c r="F145"/>
      <c r="G145"/>
      <c r="H145"/>
      <c r="I145"/>
      <c r="J145" s="275"/>
      <c r="K145" s="276"/>
      <c r="L145" s="276"/>
      <c r="M145" s="276"/>
      <c r="N145" s="276"/>
      <c r="O145" s="276"/>
      <c r="P145" s="276"/>
      <c r="Q145" s="276"/>
      <c r="R145" s="276"/>
      <c r="S145" s="276"/>
      <c r="T145" s="276"/>
      <c r="U145" s="276"/>
      <c r="V145" s="276"/>
      <c r="W145" s="276"/>
      <c r="CQ145" s="594" t="str">
        <f>IF(OR($D$90&lt;&gt;"",$E$91&lt;&gt;$D$9),"",AR18)</f>
        <v/>
      </c>
      <c r="CR145" s="588"/>
      <c r="CS145" s="588"/>
      <c r="CT145" s="588"/>
      <c r="CU145" s="588"/>
      <c r="CV145" s="588"/>
      <c r="CW145" s="588"/>
      <c r="CX145" s="591"/>
    </row>
    <row r="146" spans="2:102" ht="15" hidden="1" x14ac:dyDescent="0.25">
      <c r="B146"/>
      <c r="C146"/>
      <c r="D146"/>
      <c r="E146"/>
      <c r="F146"/>
      <c r="G146"/>
      <c r="H146"/>
      <c r="I146"/>
      <c r="J146" s="275"/>
      <c r="K146" s="276"/>
      <c r="L146" s="276"/>
      <c r="M146" s="276"/>
      <c r="N146" s="276"/>
      <c r="O146" s="276"/>
      <c r="P146" s="276"/>
      <c r="Q146" s="276"/>
      <c r="R146" s="276"/>
      <c r="S146" s="276"/>
      <c r="T146" s="276"/>
      <c r="U146" s="276"/>
      <c r="V146" s="276"/>
      <c r="W146" s="276"/>
      <c r="CQ146" s="594" t="str">
        <f>IF(OR($D$90&lt;&gt;"",$E$91&lt;&gt;$D$9),"",AR19)</f>
        <v/>
      </c>
      <c r="CR146" s="588"/>
      <c r="CS146" s="588"/>
      <c r="CT146" s="588"/>
      <c r="CU146" s="588"/>
      <c r="CV146" s="588"/>
      <c r="CW146" s="588"/>
      <c r="CX146" s="591"/>
    </row>
    <row r="147" spans="2:102" ht="15" hidden="1" x14ac:dyDescent="0.25">
      <c r="B147"/>
      <c r="C147"/>
      <c r="D147"/>
      <c r="E147"/>
      <c r="F147"/>
      <c r="G147"/>
      <c r="H147"/>
      <c r="I147"/>
      <c r="J147" s="275"/>
      <c r="K147" s="276"/>
      <c r="L147" s="276"/>
      <c r="M147" s="276"/>
      <c r="N147" s="276"/>
      <c r="O147" s="276"/>
      <c r="P147" s="276"/>
      <c r="Q147" s="276"/>
      <c r="R147" s="276"/>
      <c r="S147" s="276"/>
      <c r="T147" s="276"/>
      <c r="U147" s="276"/>
      <c r="V147" s="276"/>
      <c r="W147" s="276"/>
      <c r="CQ147" s="603" t="str">
        <f>IF(OR($D$90&lt;&gt;"",$E$91&lt;&gt;$D$9),"",AR20)</f>
        <v/>
      </c>
      <c r="CR147" s="592"/>
      <c r="CS147" s="592"/>
      <c r="CT147" s="592"/>
      <c r="CU147" s="592"/>
      <c r="CV147" s="592"/>
      <c r="CW147" s="592"/>
      <c r="CX147" s="593"/>
    </row>
    <row r="148" spans="2:102" ht="13.8" hidden="1" thickBot="1" x14ac:dyDescent="0.3">
      <c r="CQ148" s="132" t="str">
        <f>IF(OR($D$90&lt;&gt;"",$E$91&lt;&gt;$D$9),"","VIAJE A:")</f>
        <v/>
      </c>
      <c r="CR148"/>
      <c r="CS148"/>
      <c r="CT148"/>
      <c r="CU148"/>
      <c r="CV148"/>
      <c r="CW148"/>
      <c r="CX148"/>
    </row>
    <row r="149" spans="2:102" ht="15.6" hidden="1" thickTop="1" x14ac:dyDescent="0.25">
      <c r="CQ149" s="595" t="str">
        <f>IF(OR($D$90&lt;&gt;"",$E$91&lt;&gt;$D$9),"",CR104&amp;" "&amp;CR109&amp;" "&amp;CU108&amp;" "&amp;Z2&amp;" "&amp;CR133&amp;" "&amp;CR128&amp;CQ133)</f>
        <v/>
      </c>
      <c r="CR149" s="596"/>
      <c r="CS149" s="596"/>
      <c r="CT149" s="596"/>
      <c r="CU149" s="596"/>
      <c r="CV149" s="596"/>
      <c r="CW149" s="596"/>
      <c r="CX149" s="597"/>
    </row>
    <row r="150" spans="2:102" ht="15" hidden="1" x14ac:dyDescent="0.25">
      <c r="CQ150" s="598" t="str">
        <f>IF(OR($D$90&lt;&gt;"",$E$91&lt;&gt;$D$9),"",AQ23&amp;" "&amp;AQ24&amp;" "&amp;AR24&amp;CQ133&amp;" "&amp;AQ25&amp;" "&amp;AR25&amp;CQ133&amp;" "&amp;AQ26&amp;" "&amp;AR26&amp;CQ133&amp;" "&amp;AQ27&amp;" "&amp;AR27&amp;CQ133)</f>
        <v/>
      </c>
      <c r="CR150" s="116"/>
      <c r="CS150" s="116"/>
      <c r="CT150" s="116"/>
      <c r="CU150" s="116"/>
      <c r="CV150" s="116"/>
      <c r="CW150" s="116"/>
      <c r="CX150" s="599"/>
    </row>
    <row r="151" spans="2:102" ht="15" hidden="1" x14ac:dyDescent="0.25">
      <c r="CQ151" s="600"/>
      <c r="CR151" s="116"/>
      <c r="CS151" s="116"/>
      <c r="CT151" s="116"/>
      <c r="CU151" s="116"/>
      <c r="CV151" s="116"/>
      <c r="CW151" s="116"/>
      <c r="CX151" s="599"/>
    </row>
    <row r="152" spans="2:102" ht="15.6" hidden="1" thickBot="1" x14ac:dyDescent="0.3">
      <c r="CQ152" s="609" t="str">
        <f>IF(OR($D$90&lt;&gt;"",$E$91&lt;&gt;$D$9),"",CR125)</f>
        <v/>
      </c>
      <c r="CR152" s="601"/>
      <c r="CS152" s="601"/>
      <c r="CT152" s="601"/>
      <c r="CU152" s="601"/>
      <c r="CV152" s="601"/>
      <c r="CW152" s="601"/>
      <c r="CX152" s="602"/>
    </row>
    <row r="153" spans="2:102" ht="13.8" hidden="1" thickTop="1" x14ac:dyDescent="0.25">
      <c r="CQ153"/>
      <c r="CR153"/>
      <c r="CS153"/>
      <c r="CT153"/>
      <c r="CU153"/>
      <c r="CV153"/>
      <c r="CW153"/>
      <c r="CX153"/>
    </row>
    <row r="154" spans="2:102" hidden="1" x14ac:dyDescent="0.25">
      <c r="CQ154"/>
      <c r="CR154"/>
      <c r="CS154"/>
      <c r="CT154"/>
      <c r="CU154"/>
      <c r="CV154"/>
      <c r="CW154"/>
      <c r="CX154"/>
    </row>
    <row r="155" spans="2:102" hidden="1" x14ac:dyDescent="0.25">
      <c r="CQ155"/>
      <c r="CR155"/>
      <c r="CS155"/>
      <c r="CT155"/>
      <c r="CU155"/>
      <c r="CV155"/>
      <c r="CW155"/>
      <c r="CX155"/>
    </row>
    <row r="156" spans="2:102" ht="13.8" hidden="1" x14ac:dyDescent="0.25">
      <c r="CQ156" s="39"/>
    </row>
    <row r="157" spans="2:102" ht="13.8" hidden="1" x14ac:dyDescent="0.25">
      <c r="CQ157" s="39"/>
    </row>
    <row r="158" spans="2:102" ht="13.8" hidden="1" x14ac:dyDescent="0.25">
      <c r="CQ158" s="39"/>
    </row>
    <row r="159" spans="2:102" ht="13.8" hidden="1" x14ac:dyDescent="0.25">
      <c r="CQ159" s="39"/>
    </row>
    <row r="160" spans="2:102" ht="13.8" hidden="1" x14ac:dyDescent="0.25">
      <c r="CQ160" s="39"/>
    </row>
    <row r="161" hidden="1" x14ac:dyDescent="0.25"/>
  </sheetData>
  <sheetProtection password="A7D8" sheet="1" objects="1" scenarios="1" selectLockedCells="1"/>
  <mergeCells count="315">
    <mergeCell ref="CR118:CW118"/>
    <mergeCell ref="CR119:CW119"/>
    <mergeCell ref="CR120:CW120"/>
    <mergeCell ref="CQ134:CX134"/>
    <mergeCell ref="AQ5:AX5"/>
    <mergeCell ref="CR108:CT108"/>
    <mergeCell ref="CU108:CX108"/>
    <mergeCell ref="AQ6:AS6"/>
    <mergeCell ref="CR113:CW113"/>
    <mergeCell ref="CR112:CW112"/>
    <mergeCell ref="CR114:CW114"/>
    <mergeCell ref="CR115:CW115"/>
    <mergeCell ref="CR116:CW116"/>
    <mergeCell ref="CR117:CW117"/>
    <mergeCell ref="CT18:CX18"/>
    <mergeCell ref="CW21:CX21"/>
    <mergeCell ref="CW22:CX22"/>
    <mergeCell ref="CW25:CX25"/>
    <mergeCell ref="CQ27:CU27"/>
    <mergeCell ref="CV27:CW27"/>
    <mergeCell ref="CU29:CW29"/>
    <mergeCell ref="CU31:CX31"/>
    <mergeCell ref="CU32:CW32"/>
    <mergeCell ref="CS33:CT33"/>
    <mergeCell ref="C127:I127"/>
    <mergeCell ref="C125:I126"/>
    <mergeCell ref="B131:B132"/>
    <mergeCell ref="D128:G128"/>
    <mergeCell ref="C129:I129"/>
    <mergeCell ref="D130:G130"/>
    <mergeCell ref="C131:C132"/>
    <mergeCell ref="D131:I132"/>
    <mergeCell ref="B113:B114"/>
    <mergeCell ref="B115:B116"/>
    <mergeCell ref="B117:B118"/>
    <mergeCell ref="B119:B120"/>
    <mergeCell ref="C121:I121"/>
    <mergeCell ref="C122:I122"/>
    <mergeCell ref="C123:I123"/>
    <mergeCell ref="C124:I124"/>
    <mergeCell ref="B121:B122"/>
    <mergeCell ref="B123:B124"/>
    <mergeCell ref="C116:I116"/>
    <mergeCell ref="C114:I114"/>
    <mergeCell ref="C115:I115"/>
    <mergeCell ref="C117:I117"/>
    <mergeCell ref="C118:I118"/>
    <mergeCell ref="C119:I119"/>
    <mergeCell ref="B96:I96"/>
    <mergeCell ref="B97:G97"/>
    <mergeCell ref="B98:I98"/>
    <mergeCell ref="D100:F100"/>
    <mergeCell ref="B9:C9"/>
    <mergeCell ref="D9:F9"/>
    <mergeCell ref="H21:I21"/>
    <mergeCell ref="H22:I22"/>
    <mergeCell ref="H35:I35"/>
    <mergeCell ref="H25:I25"/>
    <mergeCell ref="B27:F27"/>
    <mergeCell ref="G27:H27"/>
    <mergeCell ref="D77:F77"/>
    <mergeCell ref="C81:D81"/>
    <mergeCell ref="E81:G81"/>
    <mergeCell ref="B74:E74"/>
    <mergeCell ref="C72:F72"/>
    <mergeCell ref="B75:E75"/>
    <mergeCell ref="C10:E10"/>
    <mergeCell ref="E14:H14"/>
    <mergeCell ref="F29:H29"/>
    <mergeCell ref="C11:H11"/>
    <mergeCell ref="C12:F12"/>
    <mergeCell ref="E15:H15"/>
    <mergeCell ref="X3:AK3"/>
    <mergeCell ref="X86:AJ86"/>
    <mergeCell ref="W13:AI13"/>
    <mergeCell ref="W10:AC10"/>
    <mergeCell ref="W11:AC11"/>
    <mergeCell ref="W12:AC12"/>
    <mergeCell ref="W19:AC19"/>
    <mergeCell ref="W20:AC20"/>
    <mergeCell ref="W21:AC21"/>
    <mergeCell ref="W22:AC22"/>
    <mergeCell ref="W23:AJ23"/>
    <mergeCell ref="W31:AC31"/>
    <mergeCell ref="W32:AC32"/>
    <mergeCell ref="W33:AC33"/>
    <mergeCell ref="W34:AE34"/>
    <mergeCell ref="W40:AC40"/>
    <mergeCell ref="W41:AC41"/>
    <mergeCell ref="W42:AC42"/>
    <mergeCell ref="W43:AC43"/>
    <mergeCell ref="AD43:AE43"/>
    <mergeCell ref="W51:AC51"/>
    <mergeCell ref="W62:AC62"/>
    <mergeCell ref="W63:AC63"/>
    <mergeCell ref="AD63:AE63"/>
    <mergeCell ref="W101:AB101"/>
    <mergeCell ref="W64:AM64"/>
    <mergeCell ref="W71:AC71"/>
    <mergeCell ref="W72:AC72"/>
    <mergeCell ref="W73:AC73"/>
    <mergeCell ref="W74:AE74"/>
    <mergeCell ref="W80:AC80"/>
    <mergeCell ref="W81:AC81"/>
    <mergeCell ref="W82:AC82"/>
    <mergeCell ref="W83:AC83"/>
    <mergeCell ref="AD83:AE83"/>
    <mergeCell ref="W84:AF84"/>
    <mergeCell ref="Z90:AA90"/>
    <mergeCell ref="Z91:AA91"/>
    <mergeCell ref="Z92:AA92"/>
    <mergeCell ref="Z93:AA93"/>
    <mergeCell ref="Z94:AA94"/>
    <mergeCell ref="Z95:AA95"/>
    <mergeCell ref="Z96:AA96"/>
    <mergeCell ref="Z97:AA97"/>
    <mergeCell ref="Z98:AA98"/>
    <mergeCell ref="Z99:AA99"/>
    <mergeCell ref="M1:O1"/>
    <mergeCell ref="P1:T1"/>
    <mergeCell ref="M2:O2"/>
    <mergeCell ref="P2:T2"/>
    <mergeCell ref="M4:O4"/>
    <mergeCell ref="P4:R4"/>
    <mergeCell ref="C4:I4"/>
    <mergeCell ref="C6:I6"/>
    <mergeCell ref="C7:I7"/>
    <mergeCell ref="P5:Q5"/>
    <mergeCell ref="H5:I5"/>
    <mergeCell ref="M5:N5"/>
    <mergeCell ref="K6:L6"/>
    <mergeCell ref="M6:N6"/>
    <mergeCell ref="F42:I42"/>
    <mergeCell ref="P6:Q6"/>
    <mergeCell ref="P7:Q7"/>
    <mergeCell ref="M8:N8"/>
    <mergeCell ref="P8:Q8"/>
    <mergeCell ref="M7:N7"/>
    <mergeCell ref="C2:H2"/>
    <mergeCell ref="C3:H3"/>
    <mergeCell ref="C8:I8"/>
    <mergeCell ref="H23:I23"/>
    <mergeCell ref="H37:I37"/>
    <mergeCell ref="B95:I95"/>
    <mergeCell ref="G10:H10"/>
    <mergeCell ref="B63:F63"/>
    <mergeCell ref="C65:C66"/>
    <mergeCell ref="B64:F64"/>
    <mergeCell ref="G64:H64"/>
    <mergeCell ref="D33:E33"/>
    <mergeCell ref="D44:E44"/>
    <mergeCell ref="D55:E55"/>
    <mergeCell ref="G63:H63"/>
    <mergeCell ref="F32:H32"/>
    <mergeCell ref="H50:I50"/>
    <mergeCell ref="H46:I46"/>
    <mergeCell ref="H61:I61"/>
    <mergeCell ref="H47:I47"/>
    <mergeCell ref="H57:I57"/>
    <mergeCell ref="H58:I58"/>
    <mergeCell ref="H36:I36"/>
    <mergeCell ref="H39:I39"/>
    <mergeCell ref="E16:I16"/>
    <mergeCell ref="E18:I18"/>
    <mergeCell ref="E17:I17"/>
    <mergeCell ref="F31:I31"/>
    <mergeCell ref="F33:I33"/>
    <mergeCell ref="W52:AC52"/>
    <mergeCell ref="W53:AC53"/>
    <mergeCell ref="W54:AE54"/>
    <mergeCell ref="W60:AC60"/>
    <mergeCell ref="W61:AC61"/>
    <mergeCell ref="B93:E93"/>
    <mergeCell ref="C83:G83"/>
    <mergeCell ref="P83:T83"/>
    <mergeCell ref="B85:H85"/>
    <mergeCell ref="B86:H86"/>
    <mergeCell ref="D88:E88"/>
    <mergeCell ref="F88:H88"/>
    <mergeCell ref="C87:G87"/>
    <mergeCell ref="M83:O83"/>
    <mergeCell ref="D90:H90"/>
    <mergeCell ref="D78:G78"/>
    <mergeCell ref="D76:E76"/>
    <mergeCell ref="E66:F66"/>
    <mergeCell ref="C120:I120"/>
    <mergeCell ref="AD28:AF28"/>
    <mergeCell ref="AD29:AF29"/>
    <mergeCell ref="C110:I111"/>
    <mergeCell ref="E92:H92"/>
    <mergeCell ref="F44:I44"/>
    <mergeCell ref="F53:I53"/>
    <mergeCell ref="F52:I52"/>
    <mergeCell ref="F54:I54"/>
    <mergeCell ref="F55:I55"/>
    <mergeCell ref="B76:C76"/>
    <mergeCell ref="B77:C77"/>
    <mergeCell ref="A91:B91"/>
    <mergeCell ref="E91:H91"/>
    <mergeCell ref="B79:G79"/>
    <mergeCell ref="B80:G80"/>
    <mergeCell ref="B82:G82"/>
    <mergeCell ref="B110:B111"/>
    <mergeCell ref="C104:I104"/>
    <mergeCell ref="C106:I106"/>
    <mergeCell ref="C107:I107"/>
    <mergeCell ref="C108:I108"/>
    <mergeCell ref="C109:I109"/>
    <mergeCell ref="C113:I113"/>
    <mergeCell ref="CR2:CW2"/>
    <mergeCell ref="CR3:CW3"/>
    <mergeCell ref="CR4:CX4"/>
    <mergeCell ref="CW5:CX5"/>
    <mergeCell ref="CR8:CX8"/>
    <mergeCell ref="CQ9:CR9"/>
    <mergeCell ref="CS9:CU9"/>
    <mergeCell ref="CR6:CX7"/>
    <mergeCell ref="CT17:CX17"/>
    <mergeCell ref="CR10:CT10"/>
    <mergeCell ref="CV10:CW10"/>
    <mergeCell ref="CR11:CW11"/>
    <mergeCell ref="CR12:CU12"/>
    <mergeCell ref="CT14:CW14"/>
    <mergeCell ref="CT15:CW15"/>
    <mergeCell ref="CT16:CX16"/>
    <mergeCell ref="CU33:CX33"/>
    <mergeCell ref="CW35:CX35"/>
    <mergeCell ref="CW36:CX36"/>
    <mergeCell ref="CW39:CX39"/>
    <mergeCell ref="CU42:CX42"/>
    <mergeCell ref="CS44:CT44"/>
    <mergeCell ref="CU44:CX44"/>
    <mergeCell ref="CW46:CX46"/>
    <mergeCell ref="CW47:CX47"/>
    <mergeCell ref="CW50:CX50"/>
    <mergeCell ref="CU52:CX52"/>
    <mergeCell ref="CU53:CX53"/>
    <mergeCell ref="CU54:CX54"/>
    <mergeCell ref="CS55:CT55"/>
    <mergeCell ref="CU55:CX55"/>
    <mergeCell ref="CW57:CX57"/>
    <mergeCell ref="CW58:CX58"/>
    <mergeCell ref="CW61:CX61"/>
    <mergeCell ref="CQ121:CQ124"/>
    <mergeCell ref="CR95:CV95"/>
    <mergeCell ref="CQ63:CU63"/>
    <mergeCell ref="CV63:CW63"/>
    <mergeCell ref="CQ64:CU64"/>
    <mergeCell ref="CV64:CW64"/>
    <mergeCell ref="CR65:CR66"/>
    <mergeCell ref="CR72:CU72"/>
    <mergeCell ref="CQ74:CT74"/>
    <mergeCell ref="CQ75:CT75"/>
    <mergeCell ref="CQ76:CR76"/>
    <mergeCell ref="CS76:CT76"/>
    <mergeCell ref="CR87:CV87"/>
    <mergeCell ref="CS88:CT88"/>
    <mergeCell ref="CU88:CW88"/>
    <mergeCell ref="CS90:CW90"/>
    <mergeCell ref="CT91:CW91"/>
    <mergeCell ref="CQ77:CR77"/>
    <mergeCell ref="CS77:CU77"/>
    <mergeCell ref="CS78:CV78"/>
    <mergeCell ref="CQ79:CV79"/>
    <mergeCell ref="CQ80:CV80"/>
    <mergeCell ref="CR81:CS81"/>
    <mergeCell ref="CT81:CV81"/>
    <mergeCell ref="AI7:AJ7"/>
    <mergeCell ref="AI29:AJ29"/>
    <mergeCell ref="AL47:AM47"/>
    <mergeCell ref="AL68:AM68"/>
    <mergeCell ref="CQ113:CQ116"/>
    <mergeCell ref="CR129:CX129"/>
    <mergeCell ref="CQ117:CQ118"/>
    <mergeCell ref="CQ119:CQ120"/>
    <mergeCell ref="CR106:CX106"/>
    <mergeCell ref="CR107:CX107"/>
    <mergeCell ref="CR109:CX109"/>
    <mergeCell ref="CQ110:CQ111"/>
    <mergeCell ref="CR110:CX111"/>
    <mergeCell ref="CT92:CW92"/>
    <mergeCell ref="CQ93:CT93"/>
    <mergeCell ref="CQ96:CX96"/>
    <mergeCell ref="CQ98:CX98"/>
    <mergeCell ref="CS100:CU100"/>
    <mergeCell ref="CR104:CX104"/>
    <mergeCell ref="CQ82:CV82"/>
    <mergeCell ref="CR83:CV83"/>
    <mergeCell ref="CQ85:CW85"/>
    <mergeCell ref="CQ86:CW86"/>
    <mergeCell ref="CS94:CW94"/>
    <mergeCell ref="H48:I48"/>
    <mergeCell ref="H59:I59"/>
    <mergeCell ref="H70:I70"/>
    <mergeCell ref="CS140:CX140"/>
    <mergeCell ref="CQ136:CR136"/>
    <mergeCell ref="CQ137:CR137"/>
    <mergeCell ref="CQ138:CR138"/>
    <mergeCell ref="CQ139:CR139"/>
    <mergeCell ref="CS135:CX135"/>
    <mergeCell ref="CS136:CX136"/>
    <mergeCell ref="CS137:CX137"/>
    <mergeCell ref="CS138:CX138"/>
    <mergeCell ref="CS139:CX139"/>
    <mergeCell ref="CS130:CV130"/>
    <mergeCell ref="CQ131:CQ132"/>
    <mergeCell ref="CR131:CR132"/>
    <mergeCell ref="CS131:CX132"/>
    <mergeCell ref="CR121:CX121"/>
    <mergeCell ref="CR122:CX122"/>
    <mergeCell ref="CR123:CX123"/>
    <mergeCell ref="CR124:CX124"/>
    <mergeCell ref="CR125:CX126"/>
    <mergeCell ref="CR127:CX127"/>
    <mergeCell ref="CS128:CV128"/>
  </mergeCells>
  <conditionalFormatting sqref="E24:E25">
    <cfRule type="expression" dxfId="267" priority="424" stopIfTrue="1">
      <formula>$I$24</formula>
    </cfRule>
  </conditionalFormatting>
  <conditionalFormatting sqref="H25">
    <cfRule type="expression" dxfId="266" priority="423" stopIfTrue="1">
      <formula>$H$25=$K$13</formula>
    </cfRule>
  </conditionalFormatting>
  <conditionalFormatting sqref="E35">
    <cfRule type="expression" dxfId="265" priority="422" stopIfTrue="1">
      <formula>$I$35</formula>
    </cfRule>
  </conditionalFormatting>
  <conditionalFormatting sqref="E37">
    <cfRule type="expression" dxfId="264" priority="421" stopIfTrue="1">
      <formula>$I$37</formula>
    </cfRule>
  </conditionalFormatting>
  <conditionalFormatting sqref="H37">
    <cfRule type="expression" dxfId="263" priority="420" stopIfTrue="1">
      <formula>$H$37="Falta indicar las noches"</formula>
    </cfRule>
  </conditionalFormatting>
  <conditionalFormatting sqref="E46">
    <cfRule type="expression" dxfId="262" priority="419" stopIfTrue="1">
      <formula>$I$46</formula>
    </cfRule>
  </conditionalFormatting>
  <conditionalFormatting sqref="E48">
    <cfRule type="expression" dxfId="261" priority="418" stopIfTrue="1">
      <formula>$I$48</formula>
    </cfRule>
  </conditionalFormatting>
  <conditionalFormatting sqref="H48">
    <cfRule type="expression" dxfId="260" priority="417" stopIfTrue="1">
      <formula>$H$48="Falta indicar las noches"</formula>
    </cfRule>
  </conditionalFormatting>
  <conditionalFormatting sqref="E57:E58">
    <cfRule type="expression" dxfId="259" priority="416" stopIfTrue="1">
      <formula>$I$57</formula>
    </cfRule>
  </conditionalFormatting>
  <conditionalFormatting sqref="E61">
    <cfRule type="expression" dxfId="258" priority="415" stopIfTrue="1">
      <formula>$I$61</formula>
    </cfRule>
  </conditionalFormatting>
  <conditionalFormatting sqref="E38:E40">
    <cfRule type="expression" dxfId="257" priority="397" stopIfTrue="1">
      <formula>$I$37</formula>
    </cfRule>
  </conditionalFormatting>
  <conditionalFormatting sqref="E49:E51">
    <cfRule type="expression" dxfId="256" priority="394" stopIfTrue="1">
      <formula>$I$48</formula>
    </cfRule>
  </conditionalFormatting>
  <conditionalFormatting sqref="H62">
    <cfRule type="expression" dxfId="255" priority="383">
      <formula>$H$62="Pagos a Terceros"</formula>
    </cfRule>
    <cfRule type="expression" dxfId="254" priority="384" stopIfTrue="1">
      <formula>$H$62="Falta indicar las noches"</formula>
    </cfRule>
  </conditionalFormatting>
  <conditionalFormatting sqref="C42">
    <cfRule type="expression" dxfId="253" priority="380">
      <formula>$E$41="Si sólo ha viajado a dos países, cumplimente los datos a partir de la fila C47"</formula>
    </cfRule>
  </conditionalFormatting>
  <conditionalFormatting sqref="C43">
    <cfRule type="expression" dxfId="252" priority="379">
      <formula>$E$41="Si sólo ha viajado a dos países, cumplimente los datos a partir de la fila C47"</formula>
    </cfRule>
  </conditionalFormatting>
  <conditionalFormatting sqref="C21">
    <cfRule type="expression" dxfId="251" priority="375">
      <formula>$H$21="Falta indicar las noches"</formula>
    </cfRule>
  </conditionalFormatting>
  <conditionalFormatting sqref="C38">
    <cfRule type="expression" dxfId="250" priority="343">
      <formula>$H$38="Falta indicar las noches"</formula>
    </cfRule>
    <cfRule type="expression" dxfId="249" priority="362">
      <formula>$H$38="Falta indicar las noches"</formula>
    </cfRule>
  </conditionalFormatting>
  <conditionalFormatting sqref="E17">
    <cfRule type="expression" dxfId="248" priority="347">
      <formula>$F$17="Falta indicar la hora"</formula>
    </cfRule>
  </conditionalFormatting>
  <conditionalFormatting sqref="C37">
    <cfRule type="expression" dxfId="247" priority="344">
      <formula>$H$37="Falta indicar las noches"</formula>
    </cfRule>
  </conditionalFormatting>
  <conditionalFormatting sqref="C46">
    <cfRule type="expression" dxfId="246" priority="338">
      <formula>$H$46="Falta indicar las noches"</formula>
    </cfRule>
  </conditionalFormatting>
  <conditionalFormatting sqref="C48">
    <cfRule type="expression" dxfId="245" priority="337">
      <formula>$H$48="Falta indicar las noches"</formula>
    </cfRule>
  </conditionalFormatting>
  <conditionalFormatting sqref="H24">
    <cfRule type="expression" dxfId="244" priority="324">
      <formula>$H$24="Falta indicar las noches"</formula>
    </cfRule>
  </conditionalFormatting>
  <conditionalFormatting sqref="B93">
    <cfRule type="expression" dxfId="243" priority="323">
      <formula>$B$93&lt;&gt;""</formula>
    </cfRule>
  </conditionalFormatting>
  <conditionalFormatting sqref="D90:H90">
    <cfRule type="expression" dxfId="242" priority="306">
      <formula>$D$90&lt;&gt;""</formula>
    </cfRule>
  </conditionalFormatting>
  <conditionalFormatting sqref="C87:G87">
    <cfRule type="expression" dxfId="241" priority="301">
      <formula>$C$87&lt;&gt;""</formula>
    </cfRule>
  </conditionalFormatting>
  <conditionalFormatting sqref="C72">
    <cfRule type="expression" dxfId="240" priority="427">
      <formula>$C$72="ELIJA LA OPCIÓN DEL TRANSPORTE"</formula>
    </cfRule>
  </conditionalFormatting>
  <conditionalFormatting sqref="G72 C72">
    <cfRule type="expression" dxfId="239" priority="446">
      <formula>$C$72="LIQUIDACIÓN NO VÁLIDA, INDIQUE LA MATRÍCULA"</formula>
    </cfRule>
  </conditionalFormatting>
  <conditionalFormatting sqref="H80">
    <cfRule type="expression" dxfId="238" priority="281">
      <formula>$H$80&lt;&gt;""</formula>
    </cfRule>
  </conditionalFormatting>
  <conditionalFormatting sqref="B15">
    <cfRule type="expression" dxfId="237" priority="278">
      <formula>$B$15="Falta indicar la hora"</formula>
    </cfRule>
  </conditionalFormatting>
  <conditionalFormatting sqref="B17">
    <cfRule type="expression" dxfId="236" priority="277">
      <formula>$B$17="Falta indicar la hora"</formula>
    </cfRule>
  </conditionalFormatting>
  <conditionalFormatting sqref="D17">
    <cfRule type="expression" dxfId="235" priority="273">
      <formula>$B$17="Falta indicar la hora"</formula>
    </cfRule>
  </conditionalFormatting>
  <conditionalFormatting sqref="E32">
    <cfRule type="expression" dxfId="234" priority="271">
      <formula>$F$32="Falta indicar la hora"</formula>
    </cfRule>
  </conditionalFormatting>
  <conditionalFormatting sqref="E43">
    <cfRule type="expression" dxfId="233" priority="269">
      <formula>$F$43="Falta indicar la hora"</formula>
    </cfRule>
  </conditionalFormatting>
  <conditionalFormatting sqref="E54">
    <cfRule type="expression" dxfId="232" priority="267">
      <formula>$F$54="Falta indicar la hora"</formula>
    </cfRule>
  </conditionalFormatting>
  <conditionalFormatting sqref="H66">
    <cfRule type="expression" dxfId="231" priority="260">
      <formula>$C$72="LIQUIDACIÓN NO VÁLIDA, INDIQUE LA MATRÍCULA"</formula>
    </cfRule>
  </conditionalFormatting>
  <conditionalFormatting sqref="B77:C77">
    <cfRule type="expression" dxfId="230" priority="259">
      <formula>$B$77&lt;&gt;""</formula>
    </cfRule>
  </conditionalFormatting>
  <conditionalFormatting sqref="D77">
    <cfRule type="expression" dxfId="229" priority="258">
      <formula>$D$77&lt;&gt;""</formula>
    </cfRule>
  </conditionalFormatting>
  <conditionalFormatting sqref="C6">
    <cfRule type="expression" dxfId="228" priority="256">
      <formula>$C$6&lt;&gt;""</formula>
    </cfRule>
  </conditionalFormatting>
  <conditionalFormatting sqref="C7">
    <cfRule type="expression" dxfId="227" priority="255">
      <formula>$C$7&lt;&gt;""</formula>
    </cfRule>
  </conditionalFormatting>
  <conditionalFormatting sqref="C8">
    <cfRule type="expression" dxfId="226" priority="254">
      <formula>$C$8&lt;&gt;"LIQUIDACIÓN DE DIETAS Y GASTOS DE LOCOMOCIÓN"</formula>
    </cfRule>
  </conditionalFormatting>
  <conditionalFormatting sqref="E91:H91">
    <cfRule type="expression" dxfId="225" priority="253">
      <formula>$E$91&lt;&gt;D9</formula>
    </cfRule>
  </conditionalFormatting>
  <conditionalFormatting sqref="D33:E33">
    <cfRule type="expression" dxfId="224" priority="252">
      <formula>$D$33="ELIJA EL PAÍS          ▼"</formula>
    </cfRule>
  </conditionalFormatting>
  <conditionalFormatting sqref="D44:E44">
    <cfRule type="expression" dxfId="223" priority="251">
      <formula>$D$44="ELIJA EL PAÍS          ▼"</formula>
    </cfRule>
  </conditionalFormatting>
  <conditionalFormatting sqref="D55:E55">
    <cfRule type="expression" dxfId="222" priority="250">
      <formula>$D$55="ELIJA EL PAÍS          ▼"</formula>
    </cfRule>
  </conditionalFormatting>
  <conditionalFormatting sqref="C41">
    <cfRule type="expression" dxfId="221" priority="249">
      <formula>$E$41="Si sólo ha viajado a dos países, cumplimente los datos a partir de la fila C47"</formula>
    </cfRule>
  </conditionalFormatting>
  <conditionalFormatting sqref="E41">
    <cfRule type="expression" dxfId="220" priority="247">
      <formula>$F$43="Falta indicar la hora"</formula>
    </cfRule>
  </conditionalFormatting>
  <conditionalFormatting sqref="E52">
    <cfRule type="expression" dxfId="219" priority="246">
      <formula>$F$54="Falta indicar la hora"</formula>
    </cfRule>
  </conditionalFormatting>
  <conditionalFormatting sqref="B8">
    <cfRule type="expression" dxfId="218" priority="245">
      <formula>$C$8=$K$15</formula>
    </cfRule>
  </conditionalFormatting>
  <conditionalFormatting sqref="D15">
    <cfRule type="expression" dxfId="217" priority="244">
      <formula>$B$15="Falta indicar la hora"</formula>
    </cfRule>
  </conditionalFormatting>
  <conditionalFormatting sqref="G26">
    <cfRule type="expression" dxfId="216" priority="243">
      <formula>$B$26=$P$6</formula>
    </cfRule>
  </conditionalFormatting>
  <conditionalFormatting sqref="C26">
    <cfRule type="expression" dxfId="215" priority="242">
      <formula>$B$26=$P$6</formula>
    </cfRule>
  </conditionalFormatting>
  <conditionalFormatting sqref="C22">
    <cfRule type="expression" dxfId="214" priority="241">
      <formula>$H$22=$K$14</formula>
    </cfRule>
  </conditionalFormatting>
  <conditionalFormatting sqref="H22:I22">
    <cfRule type="expression" dxfId="213" priority="239">
      <formula>$H$22=$M$22</formula>
    </cfRule>
    <cfRule type="expression" dxfId="212" priority="240">
      <formula>$H$22=$K$14</formula>
    </cfRule>
  </conditionalFormatting>
  <conditionalFormatting sqref="G40">
    <cfRule type="expression" dxfId="211" priority="238">
      <formula>$B$40=$P$6</formula>
    </cfRule>
  </conditionalFormatting>
  <conditionalFormatting sqref="C35">
    <cfRule type="expression" dxfId="210" priority="237">
      <formula>$H$35=$K$14</formula>
    </cfRule>
  </conditionalFormatting>
  <conditionalFormatting sqref="H36:I36">
    <cfRule type="expression" dxfId="209" priority="234">
      <formula>$H$36=$M$22</formula>
    </cfRule>
    <cfRule type="expression" dxfId="208" priority="236">
      <formula>$H$36=$K$14</formula>
    </cfRule>
  </conditionalFormatting>
  <conditionalFormatting sqref="C36">
    <cfRule type="expression" dxfId="207" priority="235">
      <formula>$H$36=$K$14</formula>
    </cfRule>
  </conditionalFormatting>
  <conditionalFormatting sqref="H39:I39">
    <cfRule type="expression" dxfId="206" priority="233">
      <formula>$H$39=$K$13</formula>
    </cfRule>
  </conditionalFormatting>
  <conditionalFormatting sqref="C39">
    <cfRule type="expression" dxfId="205" priority="231">
      <formula>$H$39=$K$13</formula>
    </cfRule>
  </conditionalFormatting>
  <conditionalFormatting sqref="F30:H30">
    <cfRule type="expression" dxfId="204" priority="230">
      <formula>$F$30="Falta indicar la hora"</formula>
    </cfRule>
  </conditionalFormatting>
  <conditionalFormatting sqref="E30">
    <cfRule type="expression" dxfId="203" priority="229">
      <formula>$F$30="Falta indicar la hora"</formula>
    </cfRule>
  </conditionalFormatting>
  <conditionalFormatting sqref="F32:H32">
    <cfRule type="expression" dxfId="202" priority="228">
      <formula>$F$32="Falta indicar la hora"</formula>
    </cfRule>
  </conditionalFormatting>
  <conditionalFormatting sqref="G51">
    <cfRule type="expression" dxfId="201" priority="227">
      <formula>$B$51=$P$6</formula>
    </cfRule>
  </conditionalFormatting>
  <conditionalFormatting sqref="H50:I50">
    <cfRule type="expression" dxfId="200" priority="226">
      <formula>$H$50=$K$13</formula>
    </cfRule>
  </conditionalFormatting>
  <conditionalFormatting sqref="C50">
    <cfRule type="expression" dxfId="199" priority="225">
      <formula>$H$50=$K$13</formula>
    </cfRule>
  </conditionalFormatting>
  <conditionalFormatting sqref="H46:I46">
    <cfRule type="expression" dxfId="198" priority="223">
      <formula>$H$46=$K$14</formula>
    </cfRule>
  </conditionalFormatting>
  <conditionalFormatting sqref="H47:I47">
    <cfRule type="expression" dxfId="197" priority="221">
      <formula>$H$47=$M$22</formula>
    </cfRule>
    <cfRule type="expression" dxfId="196" priority="222">
      <formula>$H$47=$K$14</formula>
    </cfRule>
  </conditionalFormatting>
  <conditionalFormatting sqref="C47">
    <cfRule type="expression" dxfId="195" priority="220">
      <formula>$H$47=$K$14</formula>
    </cfRule>
  </conditionalFormatting>
  <conditionalFormatting sqref="F41:H41">
    <cfRule type="expression" dxfId="194" priority="219">
      <formula>$F$41="Falta indicar la hora"</formula>
    </cfRule>
  </conditionalFormatting>
  <conditionalFormatting sqref="F43:H43">
    <cfRule type="expression" dxfId="193" priority="218">
      <formula>$F$43="Falta indicar la hora"</formula>
    </cfRule>
  </conditionalFormatting>
  <conditionalFormatting sqref="F52">
    <cfRule type="expression" dxfId="192" priority="217">
      <formula>$F$52="Falta indicar la hora"</formula>
    </cfRule>
  </conditionalFormatting>
  <conditionalFormatting sqref="F54">
    <cfRule type="expression" dxfId="191" priority="216">
      <formula>$F$54="Falta indicar la hora"</formula>
    </cfRule>
  </conditionalFormatting>
  <conditionalFormatting sqref="G62">
    <cfRule type="expression" dxfId="190" priority="215">
      <formula>$B$62=$P$6</formula>
    </cfRule>
  </conditionalFormatting>
  <conditionalFormatting sqref="H58:I58">
    <cfRule type="expression" dxfId="189" priority="211">
      <formula>$H$58=$M$22</formula>
    </cfRule>
    <cfRule type="expression" dxfId="188" priority="213">
      <formula>$H$58=$K$14</formula>
    </cfRule>
  </conditionalFormatting>
  <conditionalFormatting sqref="H61:I61">
    <cfRule type="expression" dxfId="187" priority="210">
      <formula>$H$61=$K$13</formula>
    </cfRule>
  </conditionalFormatting>
  <conditionalFormatting sqref="H21:I21">
    <cfRule type="expression" dxfId="186" priority="208">
      <formula>$H$21=$K$14</formula>
    </cfRule>
  </conditionalFormatting>
  <conditionalFormatting sqref="H35:I35">
    <cfRule type="expression" dxfId="185" priority="207">
      <formula>$H$35=$K$14</formula>
    </cfRule>
  </conditionalFormatting>
  <conditionalFormatting sqref="H57:I57">
    <cfRule type="expression" dxfId="184" priority="206">
      <formula>$H$57=$K$14</formula>
    </cfRule>
  </conditionalFormatting>
  <conditionalFormatting sqref="B9:C9">
    <cfRule type="expression" dxfId="183" priority="205">
      <formula>$B$9=$K$11</formula>
    </cfRule>
  </conditionalFormatting>
  <conditionalFormatting sqref="D9:F9">
    <cfRule type="expression" dxfId="182" priority="204">
      <formula>$B$9=$K$11</formula>
    </cfRule>
  </conditionalFormatting>
  <conditionalFormatting sqref="G9">
    <cfRule type="expression" dxfId="181" priority="203">
      <formula>$B$9=$K$11</formula>
    </cfRule>
  </conditionalFormatting>
  <conditionalFormatting sqref="H9">
    <cfRule type="expression" dxfId="180" priority="202">
      <formula>$B$9=$K$11</formula>
    </cfRule>
  </conditionalFormatting>
  <conditionalFormatting sqref="C10:E10">
    <cfRule type="expression" dxfId="179" priority="201">
      <formula>$B$9=$K$11</formula>
    </cfRule>
  </conditionalFormatting>
  <conditionalFormatting sqref="F10">
    <cfRule type="expression" dxfId="178" priority="200">
      <formula>$B$9=$K$11</formula>
    </cfRule>
  </conditionalFormatting>
  <conditionalFormatting sqref="G10:H10">
    <cfRule type="expression" dxfId="177" priority="199">
      <formula>$B$9=$K$11</formula>
    </cfRule>
  </conditionalFormatting>
  <conditionalFormatting sqref="C11:H11">
    <cfRule type="expression" dxfId="176" priority="198">
      <formula>$B$9=$K$11</formula>
    </cfRule>
  </conditionalFormatting>
  <conditionalFormatting sqref="C12:F12">
    <cfRule type="expression" dxfId="175" priority="197">
      <formula>$B$9=$K$11</formula>
    </cfRule>
  </conditionalFormatting>
  <conditionalFormatting sqref="G12">
    <cfRule type="expression" dxfId="174" priority="196">
      <formula>$B$9=$K$11</formula>
    </cfRule>
  </conditionalFormatting>
  <conditionalFormatting sqref="H12">
    <cfRule type="expression" dxfId="173" priority="195">
      <formula>$B$9=$K$11</formula>
    </cfRule>
  </conditionalFormatting>
  <conditionalFormatting sqref="C13">
    <cfRule type="expression" dxfId="172" priority="194">
      <formula>$B$9=$K$11</formula>
    </cfRule>
  </conditionalFormatting>
  <conditionalFormatting sqref="D13">
    <cfRule type="expression" dxfId="171" priority="193">
      <formula>$B$9=$K$11</formula>
    </cfRule>
  </conditionalFormatting>
  <conditionalFormatting sqref="E13">
    <cfRule type="expression" dxfId="170" priority="192">
      <formula>$B$9=$K$11</formula>
    </cfRule>
  </conditionalFormatting>
  <conditionalFormatting sqref="F13">
    <cfRule type="expression" dxfId="169" priority="191">
      <formula>$B$9=$K$11</formula>
    </cfRule>
  </conditionalFormatting>
  <conditionalFormatting sqref="B10">
    <cfRule type="expression" dxfId="168" priority="190">
      <formula>$B$9=$K$11</formula>
    </cfRule>
  </conditionalFormatting>
  <conditionalFormatting sqref="B11">
    <cfRule type="expression" dxfId="167" priority="189">
      <formula>$B$9=$K$11</formula>
    </cfRule>
  </conditionalFormatting>
  <conditionalFormatting sqref="B12">
    <cfRule type="expression" dxfId="166" priority="188">
      <formula>$B$9=$K$11</formula>
    </cfRule>
  </conditionalFormatting>
  <conditionalFormatting sqref="B13">
    <cfRule type="expression" dxfId="165" priority="187">
      <formula>$B$9=$K$11</formula>
    </cfRule>
  </conditionalFormatting>
  <conditionalFormatting sqref="H82">
    <cfRule type="expression" dxfId="164" priority="179">
      <formula>$C$81="SÍ"</formula>
    </cfRule>
    <cfRule type="expression" dxfId="163" priority="185">
      <formula>$C$81="NO"</formula>
    </cfRule>
  </conditionalFormatting>
  <conditionalFormatting sqref="D76:E76">
    <cfRule type="expression" dxfId="162" priority="183">
      <formula>$D$76="NO"</formula>
    </cfRule>
    <cfRule type="expression" dxfId="161" priority="184">
      <formula>$D$76="SÍ"</formula>
    </cfRule>
  </conditionalFormatting>
  <conditionalFormatting sqref="C81:D81">
    <cfRule type="expression" dxfId="160" priority="180">
      <formula>$C$81="NO"</formula>
    </cfRule>
    <cfRule type="expression" dxfId="159" priority="181">
      <formula>$C$81="SÍ"</formula>
    </cfRule>
  </conditionalFormatting>
  <conditionalFormatting sqref="G77">
    <cfRule type="expression" dxfId="158" priority="176">
      <formula>$D$77=""</formula>
    </cfRule>
    <cfRule type="expression" dxfId="157" priority="178">
      <formula>$D$77&lt;&gt;""</formula>
    </cfRule>
  </conditionalFormatting>
  <conditionalFormatting sqref="B82:G82">
    <cfRule type="expression" dxfId="156" priority="174">
      <formula>$B$82="HE SOLICITADO UN ANTICIPO Y NO DESEO RENUNCIAR"</formula>
    </cfRule>
    <cfRule type="expression" dxfId="155" priority="175">
      <formula>$B$82="INDIQUE EL IMPORTE TOTAL QUE DESEA PERCIBIR (EN LA CELDA DE COLOR GRIS)"</formula>
    </cfRule>
  </conditionalFormatting>
  <conditionalFormatting sqref="CW25">
    <cfRule type="expression" dxfId="154" priority="169" stopIfTrue="1">
      <formula>$H$25=$K$13</formula>
    </cfRule>
  </conditionalFormatting>
  <conditionalFormatting sqref="CW37">
    <cfRule type="expression" dxfId="153" priority="166" stopIfTrue="1">
      <formula>$H$37="Falta indicar las noches"</formula>
    </cfRule>
  </conditionalFormatting>
  <conditionalFormatting sqref="CW48">
    <cfRule type="expression" dxfId="152" priority="163" stopIfTrue="1">
      <formula>$H$48="Falta indicar las noches"</formula>
    </cfRule>
  </conditionalFormatting>
  <conditionalFormatting sqref="CW62">
    <cfRule type="expression" dxfId="151" priority="157">
      <formula>$H$62="Pagos a Terceros"</formula>
    </cfRule>
    <cfRule type="expression" dxfId="150" priority="158" stopIfTrue="1">
      <formula>$H$62="Falta indicar las noches"</formula>
    </cfRule>
  </conditionalFormatting>
  <conditionalFormatting sqref="CR42">
    <cfRule type="expression" dxfId="149" priority="156">
      <formula>$E$41="Si sólo ha viajado a dos países, cumplimente los datos a partir de la fila C47"</formula>
    </cfRule>
  </conditionalFormatting>
  <conditionalFormatting sqref="CR43">
    <cfRule type="expression" dxfId="148" priority="155">
      <formula>$E$41="Si sólo ha viajado a dos países, cumplimente los datos a partir de la fila C47"</formula>
    </cfRule>
  </conditionalFormatting>
  <conditionalFormatting sqref="CT17">
    <cfRule type="expression" dxfId="147" priority="150">
      <formula>$F$17="Falta indicar la hora"</formula>
    </cfRule>
  </conditionalFormatting>
  <conditionalFormatting sqref="CW24">
    <cfRule type="expression" dxfId="146" priority="143">
      <formula>$H$24="Falta indicar las noches"</formula>
    </cfRule>
  </conditionalFormatting>
  <conditionalFormatting sqref="CQ93">
    <cfRule type="expression" dxfId="145" priority="142">
      <formula>$B$93&lt;&gt;""</formula>
    </cfRule>
  </conditionalFormatting>
  <conditionalFormatting sqref="CR87:CV87">
    <cfRule type="expression" dxfId="144" priority="140">
      <formula>$C$87&lt;&gt;""</formula>
    </cfRule>
  </conditionalFormatting>
  <conditionalFormatting sqref="CR72">
    <cfRule type="expression" dxfId="143" priority="171">
      <formula>$C$72="ELIJA LA OPCIÓN DEL TRANSPORTE"</formula>
    </cfRule>
  </conditionalFormatting>
  <conditionalFormatting sqref="CV72 CR72">
    <cfRule type="expression" dxfId="142" priority="172">
      <formula>$C$72="LIQUIDACIÓN NO VÁLIDA, INDIQUE LA MATRÍCULA"</formula>
    </cfRule>
  </conditionalFormatting>
  <conditionalFormatting sqref="CQ15">
    <cfRule type="expression" dxfId="141" priority="138">
      <formula>$B$15="Falta indicar la hora"</formula>
    </cfRule>
  </conditionalFormatting>
  <conditionalFormatting sqref="CQ17">
    <cfRule type="expression" dxfId="140" priority="137">
      <formula>$B$17="Falta indicar la hora"</formula>
    </cfRule>
  </conditionalFormatting>
  <conditionalFormatting sqref="CS17">
    <cfRule type="expression" dxfId="139" priority="136">
      <formula>$B$17="Falta indicar la hora"</formula>
    </cfRule>
  </conditionalFormatting>
  <conditionalFormatting sqref="CT32">
    <cfRule type="expression" dxfId="138" priority="135">
      <formula>$F$32="Falta indicar la hora"</formula>
    </cfRule>
  </conditionalFormatting>
  <conditionalFormatting sqref="CT43">
    <cfRule type="expression" dxfId="137" priority="134">
      <formula>$F$43="Falta indicar la hora"</formula>
    </cfRule>
  </conditionalFormatting>
  <conditionalFormatting sqref="CT54">
    <cfRule type="expression" dxfId="136" priority="133">
      <formula>$F$54="Falta indicar la hora"</formula>
    </cfRule>
  </conditionalFormatting>
  <conditionalFormatting sqref="CW66">
    <cfRule type="expression" dxfId="135" priority="132">
      <formula>$C$72="LIQUIDACIÓN NO VÁLIDA, INDIQUE LA MATRÍCULA"</formula>
    </cfRule>
  </conditionalFormatting>
  <conditionalFormatting sqref="CS77">
    <cfRule type="expression" dxfId="134" priority="130">
      <formula>$D$77&lt;&gt;""</formula>
    </cfRule>
  </conditionalFormatting>
  <conditionalFormatting sqref="CS33:CT33">
    <cfRule type="expression" dxfId="133" priority="125">
      <formula>$D$33="ELIJA EL PAÍS          ▼"</formula>
    </cfRule>
  </conditionalFormatting>
  <conditionalFormatting sqref="CS44:CT44">
    <cfRule type="expression" dxfId="132" priority="124">
      <formula>$D$44="ELIJA EL PAÍS          ▼"</formula>
    </cfRule>
  </conditionalFormatting>
  <conditionalFormatting sqref="CS55:CT55">
    <cfRule type="expression" dxfId="131" priority="123">
      <formula>$D$55="ELIJA EL PAÍS          ▼"</formula>
    </cfRule>
  </conditionalFormatting>
  <conditionalFormatting sqref="CR41">
    <cfRule type="expression" dxfId="130" priority="122">
      <formula>$E$41="Si sólo ha viajado a dos países, cumplimente los datos a partir de la fila C47"</formula>
    </cfRule>
  </conditionalFormatting>
  <conditionalFormatting sqref="CT41">
    <cfRule type="expression" dxfId="129" priority="121">
      <formula>$F$43="Falta indicar la hora"</formula>
    </cfRule>
  </conditionalFormatting>
  <conditionalFormatting sqref="CT52">
    <cfRule type="expression" dxfId="128" priority="120">
      <formula>$F$54="Falta indicar la hora"</formula>
    </cfRule>
  </conditionalFormatting>
  <conditionalFormatting sqref="CS15">
    <cfRule type="expression" dxfId="127" priority="118">
      <formula>$B$15="Falta indicar la hora"</formula>
    </cfRule>
  </conditionalFormatting>
  <conditionalFormatting sqref="CW22:CX22">
    <cfRule type="expression" dxfId="126" priority="113">
      <formula>$H$22=$M$22</formula>
    </cfRule>
    <cfRule type="expression" dxfId="125" priority="114">
      <formula>$H$22=$K$14</formula>
    </cfRule>
  </conditionalFormatting>
  <conditionalFormatting sqref="CW36:CX36">
    <cfRule type="expression" dxfId="124" priority="108">
      <formula>$H$36=$M$22</formula>
    </cfRule>
    <cfRule type="expression" dxfId="123" priority="110">
      <formula>$H$36=$K$14</formula>
    </cfRule>
  </conditionalFormatting>
  <conditionalFormatting sqref="CW39:CX39">
    <cfRule type="expression" dxfId="122" priority="107">
      <formula>$H$39=$K$13</formula>
    </cfRule>
  </conditionalFormatting>
  <conditionalFormatting sqref="CU30:CW30">
    <cfRule type="expression" dxfId="121" priority="105">
      <formula>$F$30="Falta indicar la hora"</formula>
    </cfRule>
  </conditionalFormatting>
  <conditionalFormatting sqref="CT30">
    <cfRule type="expression" dxfId="120" priority="104">
      <formula>$F$30="Falta indicar la hora"</formula>
    </cfRule>
  </conditionalFormatting>
  <conditionalFormatting sqref="CU32:CW32">
    <cfRule type="expression" dxfId="119" priority="103">
      <formula>$F$32="Falta indicar la hora"</formula>
    </cfRule>
  </conditionalFormatting>
  <conditionalFormatting sqref="CW50:CX50">
    <cfRule type="expression" dxfId="118" priority="101">
      <formula>$H$50=$K$13</formula>
    </cfRule>
  </conditionalFormatting>
  <conditionalFormatting sqref="CW46:CX46">
    <cfRule type="expression" dxfId="117" priority="99">
      <formula>$H$46=$K$14</formula>
    </cfRule>
  </conditionalFormatting>
  <conditionalFormatting sqref="CW47:CX47">
    <cfRule type="expression" dxfId="116" priority="97">
      <formula>$H$47=$M$22</formula>
    </cfRule>
    <cfRule type="expression" dxfId="115" priority="98">
      <formula>$H$47=$K$14</formula>
    </cfRule>
  </conditionalFormatting>
  <conditionalFormatting sqref="CU41:CW41">
    <cfRule type="expression" dxfId="114" priority="95">
      <formula>$F$41="Falta indicar la hora"</formula>
    </cfRule>
  </conditionalFormatting>
  <conditionalFormatting sqref="CU43:CW43">
    <cfRule type="expression" dxfId="113" priority="94">
      <formula>$F$43="Falta indicar la hora"</formula>
    </cfRule>
  </conditionalFormatting>
  <conditionalFormatting sqref="CU52">
    <cfRule type="expression" dxfId="112" priority="93">
      <formula>$F$52="Falta indicar la hora"</formula>
    </cfRule>
  </conditionalFormatting>
  <conditionalFormatting sqref="CU54">
    <cfRule type="expression" dxfId="111" priority="92">
      <formula>$F$54="Falta indicar la hora"</formula>
    </cfRule>
  </conditionalFormatting>
  <conditionalFormatting sqref="CW58:CX58">
    <cfRule type="expression" dxfId="110" priority="88">
      <formula>$H$58=$M$22</formula>
    </cfRule>
    <cfRule type="expression" dxfId="109" priority="90">
      <formula>$H$58=$K$14</formula>
    </cfRule>
  </conditionalFormatting>
  <conditionalFormatting sqref="CW61:CX61">
    <cfRule type="expression" dxfId="108" priority="87">
      <formula>$H$61=$K$13</formula>
    </cfRule>
  </conditionalFormatting>
  <conditionalFormatting sqref="CW35:CX35">
    <cfRule type="expression" dxfId="107" priority="84">
      <formula>$H$35=$K$14</formula>
    </cfRule>
  </conditionalFormatting>
  <conditionalFormatting sqref="CW57:CX57">
    <cfRule type="expression" dxfId="106" priority="83">
      <formula>$H$57=$K$14</formula>
    </cfRule>
  </conditionalFormatting>
  <conditionalFormatting sqref="CS9:CU9">
    <cfRule type="expression" dxfId="105" priority="81">
      <formula>$B$9=$K$11</formula>
    </cfRule>
  </conditionalFormatting>
  <conditionalFormatting sqref="CV9">
    <cfRule type="expression" dxfId="104" priority="80">
      <formula>$B$9=$K$11</formula>
    </cfRule>
  </conditionalFormatting>
  <conditionalFormatting sqref="CW9">
    <cfRule type="expression" dxfId="103" priority="79">
      <formula>$B$9=$K$11</formula>
    </cfRule>
  </conditionalFormatting>
  <conditionalFormatting sqref="CR10:CT10">
    <cfRule type="expression" dxfId="102" priority="78">
      <formula>$B$9=$K$11</formula>
    </cfRule>
  </conditionalFormatting>
  <conditionalFormatting sqref="CU10">
    <cfRule type="expression" dxfId="101" priority="77">
      <formula>$B$9=$K$11</formula>
    </cfRule>
  </conditionalFormatting>
  <conditionalFormatting sqref="CV10:CW10">
    <cfRule type="expression" dxfId="100" priority="76">
      <formula>$B$9=$K$11</formula>
    </cfRule>
  </conditionalFormatting>
  <conditionalFormatting sqref="CR11:CW11">
    <cfRule type="expression" dxfId="99" priority="75">
      <formula>$B$9=$K$11</formula>
    </cfRule>
  </conditionalFormatting>
  <conditionalFormatting sqref="CR12:CU12">
    <cfRule type="expression" dxfId="98" priority="74">
      <formula>$B$9=$K$11</formula>
    </cfRule>
  </conditionalFormatting>
  <conditionalFormatting sqref="CV12">
    <cfRule type="expression" dxfId="97" priority="73">
      <formula>$B$9=$K$11</formula>
    </cfRule>
  </conditionalFormatting>
  <conditionalFormatting sqref="CW12">
    <cfRule type="expression" dxfId="96" priority="72">
      <formula>$B$9=$K$11</formula>
    </cfRule>
  </conditionalFormatting>
  <conditionalFormatting sqref="CR13">
    <cfRule type="expression" dxfId="95" priority="71">
      <formula>$B$9=$K$11</formula>
    </cfRule>
  </conditionalFormatting>
  <conditionalFormatting sqref="CS13">
    <cfRule type="expression" dxfId="94" priority="70">
      <formula>$B$9=$K$11</formula>
    </cfRule>
  </conditionalFormatting>
  <conditionalFormatting sqref="CT13">
    <cfRule type="expression" dxfId="93" priority="69">
      <formula>$B$9=$K$11</formula>
    </cfRule>
  </conditionalFormatting>
  <conditionalFormatting sqref="CU13">
    <cfRule type="expression" dxfId="92" priority="68">
      <formula>$B$9=$K$11</formula>
    </cfRule>
  </conditionalFormatting>
  <conditionalFormatting sqref="CQ10:CQ13">
    <cfRule type="expression" dxfId="91" priority="67">
      <formula>$B$9=$K$11</formula>
    </cfRule>
  </conditionalFormatting>
  <conditionalFormatting sqref="CW82">
    <cfRule type="expression" dxfId="90" priority="58">
      <formula>$C$81="SÍ"</formula>
    </cfRule>
    <cfRule type="expression" dxfId="89" priority="63">
      <formula>$C$81="NO"</formula>
    </cfRule>
  </conditionalFormatting>
  <conditionalFormatting sqref="CS76:CT76">
    <cfRule type="expression" dxfId="88" priority="61">
      <formula>$D$76="NO"</formula>
    </cfRule>
    <cfRule type="expression" dxfId="87" priority="62">
      <formula>$D$76="SÍ"</formula>
    </cfRule>
  </conditionalFormatting>
  <conditionalFormatting sqref="CR81:CS81">
    <cfRule type="expression" dxfId="86" priority="59">
      <formula>$C$81="NO"</formula>
    </cfRule>
    <cfRule type="expression" dxfId="85" priority="60">
      <formula>$C$81="SÍ"</formula>
    </cfRule>
  </conditionalFormatting>
  <conditionalFormatting sqref="CV77">
    <cfRule type="expression" dxfId="84" priority="56">
      <formula>$D$77=""</formula>
    </cfRule>
    <cfRule type="expression" dxfId="83" priority="57">
      <formula>$D$77&lt;&gt;""</formula>
    </cfRule>
  </conditionalFormatting>
  <conditionalFormatting sqref="CQ82:CV82">
    <cfRule type="expression" dxfId="82" priority="54">
      <formula>$B$82="HE SOLICITADO UN ANTICIPO Y NO DESEO RENUNCIAR"</formula>
    </cfRule>
    <cfRule type="expression" dxfId="81" priority="55">
      <formula>$B$82="INDIQUE EL IMPORTE TOTAL QUE DESEA PERCIBIR (EN LA CELDA DE COLOR GRIS)"</formula>
    </cfRule>
  </conditionalFormatting>
  <conditionalFormatting sqref="B20">
    <cfRule type="expression" dxfId="80" priority="53">
      <formula>$C$20&lt;&gt;""</formula>
    </cfRule>
  </conditionalFormatting>
  <conditionalFormatting sqref="B21">
    <cfRule type="expression" dxfId="79" priority="52">
      <formula>$C$21&lt;&gt;""</formula>
    </cfRule>
  </conditionalFormatting>
  <conditionalFormatting sqref="B22">
    <cfRule type="expression" dxfId="78" priority="51">
      <formula>$C$22&lt;&gt;""</formula>
    </cfRule>
  </conditionalFormatting>
  <conditionalFormatting sqref="B34">
    <cfRule type="expression" dxfId="77" priority="50">
      <formula>$C$34&lt;&gt;""</formula>
    </cfRule>
  </conditionalFormatting>
  <conditionalFormatting sqref="B35">
    <cfRule type="expression" dxfId="76" priority="49">
      <formula>$C$35&lt;&gt;""</formula>
    </cfRule>
  </conditionalFormatting>
  <conditionalFormatting sqref="B36">
    <cfRule type="expression" dxfId="75" priority="48">
      <formula>$C$36&lt;&gt;""</formula>
    </cfRule>
  </conditionalFormatting>
  <conditionalFormatting sqref="B45">
    <cfRule type="expression" dxfId="74" priority="47">
      <formula>$C$45&lt;&gt;""</formula>
    </cfRule>
  </conditionalFormatting>
  <conditionalFormatting sqref="B46">
    <cfRule type="expression" dxfId="73" priority="46">
      <formula>$C$46&lt;&gt;""</formula>
    </cfRule>
  </conditionalFormatting>
  <conditionalFormatting sqref="B47">
    <cfRule type="expression" dxfId="72" priority="45">
      <formula>$C$47&lt;&gt;""</formula>
    </cfRule>
  </conditionalFormatting>
  <conditionalFormatting sqref="B56">
    <cfRule type="expression" dxfId="71" priority="44">
      <formula>$C$56&lt;&gt;""</formula>
    </cfRule>
  </conditionalFormatting>
  <conditionalFormatting sqref="B57">
    <cfRule type="expression" dxfId="70" priority="43">
      <formula>$C$57&lt;&gt;""</formula>
    </cfRule>
  </conditionalFormatting>
  <conditionalFormatting sqref="B58">
    <cfRule type="expression" dxfId="69" priority="42">
      <formula>$C$58&lt;&gt;""</formula>
    </cfRule>
  </conditionalFormatting>
  <conditionalFormatting sqref="C24">
    <cfRule type="expression" dxfId="68" priority="41">
      <formula>$H$24="Falta indicar las noches"</formula>
    </cfRule>
  </conditionalFormatting>
  <conditionalFormatting sqref="D20">
    <cfRule type="expression" dxfId="67" priority="40">
      <formula>$C$20&lt;&gt;""</formula>
    </cfRule>
  </conditionalFormatting>
  <conditionalFormatting sqref="D21">
    <cfRule type="expression" dxfId="66" priority="39">
      <formula>$C$21&lt;&gt;""</formula>
    </cfRule>
  </conditionalFormatting>
  <conditionalFormatting sqref="D22">
    <cfRule type="expression" dxfId="65" priority="38">
      <formula>$C$22&lt;&gt;""</formula>
    </cfRule>
  </conditionalFormatting>
  <conditionalFormatting sqref="D23">
    <cfRule type="expression" dxfId="64" priority="37">
      <formula>$C$23&lt;&gt;""</formula>
    </cfRule>
  </conditionalFormatting>
  <conditionalFormatting sqref="D24">
    <cfRule type="expression" dxfId="63" priority="36">
      <formula>$C$24&lt;&gt;""</formula>
    </cfRule>
  </conditionalFormatting>
  <conditionalFormatting sqref="D25">
    <cfRule type="expression" dxfId="62" priority="35">
      <formula>$C$25&lt;&gt;""</formula>
    </cfRule>
  </conditionalFormatting>
  <conditionalFormatting sqref="D26">
    <cfRule type="expression" dxfId="61" priority="34">
      <formula>$C$26&lt;&gt;""</formula>
    </cfRule>
  </conditionalFormatting>
  <conditionalFormatting sqref="B23">
    <cfRule type="expression" dxfId="60" priority="33">
      <formula>$C$23&lt;&gt;""</formula>
    </cfRule>
  </conditionalFormatting>
  <conditionalFormatting sqref="B24">
    <cfRule type="expression" dxfId="59" priority="32">
      <formula>$C$24&lt;&gt;""</formula>
    </cfRule>
  </conditionalFormatting>
  <conditionalFormatting sqref="B25">
    <cfRule type="expression" dxfId="58" priority="31">
      <formula>$C$25&lt;&gt;""</formula>
    </cfRule>
  </conditionalFormatting>
  <conditionalFormatting sqref="B26">
    <cfRule type="expression" dxfId="57" priority="29">
      <formula>$C$26&lt;&gt;""</formula>
    </cfRule>
  </conditionalFormatting>
  <conditionalFormatting sqref="G27:H27">
    <cfRule type="expression" dxfId="56" priority="28">
      <formula>$G$27&lt;&gt;0</formula>
    </cfRule>
  </conditionalFormatting>
  <conditionalFormatting sqref="G63:H63">
    <cfRule type="expression" dxfId="55" priority="27">
      <formula>$G$63&lt;&gt;0</formula>
    </cfRule>
  </conditionalFormatting>
  <conditionalFormatting sqref="G64:H64">
    <cfRule type="expression" dxfId="54" priority="26">
      <formula>$G$64&lt;&gt;0</formula>
    </cfRule>
  </conditionalFormatting>
  <conditionalFormatting sqref="H72">
    <cfRule type="expression" dxfId="53" priority="25">
      <formula>$H$72&lt;&gt;0</formula>
    </cfRule>
  </conditionalFormatting>
  <conditionalFormatting sqref="F74">
    <cfRule type="expression" dxfId="52" priority="24">
      <formula>$F$74&lt;&gt;0</formula>
    </cfRule>
  </conditionalFormatting>
  <conditionalFormatting sqref="G74">
    <cfRule type="expression" dxfId="51" priority="23">
      <formula>$G$74&lt;&gt;0</formula>
    </cfRule>
  </conditionalFormatting>
  <conditionalFormatting sqref="F75">
    <cfRule type="expression" dxfId="50" priority="22">
      <formula>$F$75&lt;&gt;0</formula>
    </cfRule>
  </conditionalFormatting>
  <conditionalFormatting sqref="H74">
    <cfRule type="expression" dxfId="49" priority="20">
      <formula>$H$74&lt;&gt;0</formula>
    </cfRule>
  </conditionalFormatting>
  <conditionalFormatting sqref="H75">
    <cfRule type="expression" dxfId="48" priority="19">
      <formula>$H$75&lt;&gt;0</formula>
    </cfRule>
  </conditionalFormatting>
  <conditionalFormatting sqref="B37">
    <cfRule type="expression" dxfId="47" priority="18">
      <formula>$C$37&lt;&gt;""</formula>
    </cfRule>
  </conditionalFormatting>
  <conditionalFormatting sqref="B38">
    <cfRule type="expression" dxfId="46" priority="17">
      <formula>$C$38&lt;&gt;""</formula>
    </cfRule>
  </conditionalFormatting>
  <conditionalFormatting sqref="B39">
    <cfRule type="expression" dxfId="45" priority="16">
      <formula>$C$39&lt;&gt;""</formula>
    </cfRule>
  </conditionalFormatting>
  <conditionalFormatting sqref="B40">
    <cfRule type="expression" dxfId="44" priority="15">
      <formula>$C$40&lt;&gt;""</formula>
    </cfRule>
  </conditionalFormatting>
  <conditionalFormatting sqref="B48">
    <cfRule type="expression" dxfId="43" priority="14">
      <formula>$C$48&lt;&gt;""</formula>
    </cfRule>
  </conditionalFormatting>
  <conditionalFormatting sqref="B49">
    <cfRule type="expression" dxfId="42" priority="13">
      <formula>$C$49&lt;&gt;""</formula>
    </cfRule>
  </conditionalFormatting>
  <conditionalFormatting sqref="B50">
    <cfRule type="expression" dxfId="41" priority="12">
      <formula>$C$50&lt;&gt;""</formula>
    </cfRule>
  </conditionalFormatting>
  <conditionalFormatting sqref="B51">
    <cfRule type="expression" dxfId="40" priority="11">
      <formula>$C$51&lt;&gt;""</formula>
    </cfRule>
  </conditionalFormatting>
  <conditionalFormatting sqref="B59">
    <cfRule type="expression" dxfId="39" priority="10">
      <formula>$C$59&lt;&gt;""</formula>
    </cfRule>
  </conditionalFormatting>
  <conditionalFormatting sqref="B60">
    <cfRule type="expression" dxfId="38" priority="9">
      <formula>$C$60&lt;&gt;""</formula>
    </cfRule>
  </conditionalFormatting>
  <conditionalFormatting sqref="B61">
    <cfRule type="expression" dxfId="37" priority="8">
      <formula>$C$61&lt;&gt;""</formula>
    </cfRule>
  </conditionalFormatting>
  <conditionalFormatting sqref="B62">
    <cfRule type="expression" dxfId="36" priority="7">
      <formula>$C$62&lt;&gt;""</formula>
    </cfRule>
  </conditionalFormatting>
  <conditionalFormatting sqref="C25">
    <cfRule type="expression" dxfId="35" priority="5">
      <formula>$B$26=$P$6</formula>
    </cfRule>
  </conditionalFormatting>
  <conditionalFormatting sqref="C56:C62">
    <cfRule type="expression" dxfId="34" priority="4">
      <formula>$B$26=$P$6</formula>
    </cfRule>
  </conditionalFormatting>
  <conditionalFormatting sqref="CR26">
    <cfRule type="expression" dxfId="33" priority="3">
      <formula>$B$26=$P$6</formula>
    </cfRule>
  </conditionalFormatting>
  <conditionalFormatting sqref="E66:F66">
    <cfRule type="expression" dxfId="32" priority="2">
      <formula>$C$67&lt;&gt;""</formula>
    </cfRule>
  </conditionalFormatting>
  <conditionalFormatting sqref="G75">
    <cfRule type="expression" dxfId="31" priority="1">
      <formula>$G$74&lt;&gt;0</formula>
    </cfRule>
  </conditionalFormatting>
  <dataValidations count="17">
    <dataValidation type="list" allowBlank="1" showInputMessage="1" showErrorMessage="1" sqref="D44:E44 D55:E55 D33:E33" xr:uid="{00000000-0002-0000-0300-000000000000}">
      <formula1>PAISES</formula1>
    </dataValidation>
    <dataValidation type="list" allowBlank="1" showInputMessage="1" showErrorMessage="1" sqref="C68:C71 E68:E71" xr:uid="{00000000-0002-0000-0300-000001000000}">
      <formula1>$L$80:$L$91</formula1>
    </dataValidation>
    <dataValidation allowBlank="1" showInputMessage="1" showErrorMessage="1" prompt="Pagos a Terceros_x000a__x000a_Cuando el Servicio de Fiscalización paga el congreso." sqref="H75" xr:uid="{00000000-0002-0000-0300-000002000000}"/>
    <dataValidation type="list" allowBlank="1" showInputMessage="1" showErrorMessage="1" errorTitle="ATENCIÓN" error="DEBE ELEGIR UNA OPCIÓN" sqref="B8" xr:uid="{00000000-0002-0000-0300-000003000000}">
      <formula1>$K$1:$K$4</formula1>
    </dataValidation>
    <dataValidation type="date" allowBlank="1" showInputMessage="1" showErrorMessage="1" errorTitle="ATENCIÓN" error="DEBE UTILIZAR EL FORMATO DE FECHA DD/MM/AAAA_x000a_EJEMPLO: 01/01/2017" sqref="C31 C42 C16 C53" xr:uid="{00000000-0002-0000-0300-000004000000}">
      <formula1>$C$135</formula1>
      <formula2>$C$136</formula2>
    </dataValidation>
    <dataValidation type="time" allowBlank="1" showInputMessage="1" showErrorMessage="1" errorTitle="ATENCIÓN" error="DEBE UTILIZAR EL FORMATO DE HORA hh:mm_x000a_EJEMPLO: 21:30" sqref="E31 E42 D16 E53" xr:uid="{00000000-0002-0000-0300-000005000000}">
      <formula1>$D$135</formula1>
      <formula2>$D$136</formula2>
    </dataValidation>
    <dataValidation type="list" allowBlank="1" showInputMessage="1" showErrorMessage="1" sqref="D76:E76 C81:D81" xr:uid="{00000000-0002-0000-0300-000006000000}">
      <formula1>$N$80:$N$82</formula1>
    </dataValidation>
    <dataValidation type="date" allowBlank="1" showInputMessage="1" showErrorMessage="1" errorTitle="ATENCIÓN" error="DEBE UTILIZAR EL FORMATO DE FECHA DD/MM/AAAA_x000a_EJEMPLO: 01/01/2017" sqref="C17 C15 C30 C32 C41 C43 C52 C54" xr:uid="{00000000-0002-0000-0300-000007000000}">
      <formula1>$K$8</formula1>
      <formula2>$K$9</formula2>
    </dataValidation>
    <dataValidation type="time" allowBlank="1" showInputMessage="1" showErrorMessage="1" errorTitle="ATENCIÓN" error="DEBE UTILIZAR EL FORMATO DE HORA hh:mm_x000a_EJEMPLO:14:30" sqref="D15 E30 E41 E52" xr:uid="{00000000-0002-0000-0300-000008000000}">
      <formula1>$L$8</formula1>
      <formula2>$L$9</formula2>
    </dataValidation>
    <dataValidation type="time" allowBlank="1" showInputMessage="1" showErrorMessage="1" errorTitle="ATENCIÓN" error="DEBE UTILIZAR EL FORMATO DE HORA hh:mm_x000a_EJEMPLO: 24:35_x000a_" sqref="E54" xr:uid="{00000000-0002-0000-0300-000009000000}">
      <formula1>L8</formula1>
      <formula2>L9</formula2>
    </dataValidation>
    <dataValidation type="date" allowBlank="1" showInputMessage="1" showErrorMessage="1" errorTitle="ATENCIÓN" error="DEBE UTILIZAR EL FORMATO DE FECHA DD/MM/AAAA_x000a_EJEMPLO: 01/01/2017" sqref="D13" xr:uid="{00000000-0002-0000-0300-00000A000000}">
      <formula1>K8</formula1>
      <formula2>K9</formula2>
    </dataValidation>
    <dataValidation type="date" allowBlank="1" showInputMessage="1" showErrorMessage="1" errorTitle="ATENCIÓN" error="DEBE UTILIZAR EL FORMATO DE FECHA DD/MM/AAAA_x000a_EJEMPLO: 01/01/2017" sqref="F13" xr:uid="{00000000-0002-0000-0300-00000B000000}">
      <formula1>K8</formula1>
      <formula2>K9</formula2>
    </dataValidation>
    <dataValidation type="time" allowBlank="1" showInputMessage="1" showErrorMessage="1" errorTitle="ATENCIÓN" error="DEBE UTILIZAR EL FORMATO DE HORA hh:mm_x000a_EJEMPLO: 24:35_x000a_" sqref="D17" xr:uid="{00000000-0002-0000-0300-00000C000000}">
      <formula1>L8</formula1>
      <formula2>L9</formula2>
    </dataValidation>
    <dataValidation type="time" allowBlank="1" showInputMessage="1" showErrorMessage="1" errorTitle="ATENCIÓN" error="DEBE UTILIZAR EL FORMATO DE HORA hh:mm_x000a_EJEMPLO: 24:35_x000a_" sqref="E32" xr:uid="{00000000-0002-0000-0300-00000D000000}">
      <formula1>L8</formula1>
      <formula2>L9</formula2>
    </dataValidation>
    <dataValidation type="time" allowBlank="1" showInputMessage="1" showErrorMessage="1" errorTitle="ATENCIÓN" error="DEBE UTILIZAR EL FORMATO DE HORA hh:mm_x000a_EJEMPLO: 24:35_x000a_" sqref="E43" xr:uid="{00000000-0002-0000-0300-00000E000000}">
      <formula1>L8</formula1>
      <formula2>L9</formula2>
    </dataValidation>
    <dataValidation type="decimal" allowBlank="1" showInputMessage="1" showErrorMessage="1" errorTitle="ERROR" error="Puede que haya introducido un formato no válido o el número tenga un valor muy alto." sqref="F74:G75" xr:uid="{00000000-0002-0000-0300-00000F000000}">
      <formula1>$L$74</formula1>
      <formula2>$L$75</formula2>
    </dataValidation>
    <dataValidation type="whole" allowBlank="1" showInputMessage="1" showErrorMessage="1" errorTitle="ATENCIÓN" error="NO ESCRIBIR CERO NI NÚMEROS DECIMALES, CANCELAR PARA ELIMINAR" sqref="C45:C51 C20:C26 C34:C40 C56:C62" xr:uid="{00000000-0002-0000-0300-000010000000}">
      <formula1>$L$71</formula1>
      <formula2>$L$72</formula2>
    </dataValidation>
  </dataValidations>
  <hyperlinks>
    <hyperlink ref="C65:C66" location="KM!A1" display="Consulta de KM" xr:uid="{00000000-0004-0000-0300-000000000000}"/>
    <hyperlink ref="D18" location="'AYUDA DE DIETAS'!B74" display="consultar" xr:uid="{00000000-0004-0000-0300-000001000000}"/>
    <hyperlink ref="G13" location="'AYUDA DE DIETAS'!B74" display="consultar" xr:uid="{00000000-0004-0000-0300-000002000000}"/>
    <hyperlink ref="E66:F66" r:id="rId1" display="(Consultar)" xr:uid="{00000000-0004-0000-0300-000003000000}"/>
    <hyperlink ref="H23" location="GLOBALIA!A1" display="Cálculo de Globalia" xr:uid="{00000000-0004-0000-0300-000004000000}"/>
    <hyperlink ref="H37" location="GLOBALIA!A1" display="Cálculo de Globalia" xr:uid="{00000000-0004-0000-0300-000005000000}"/>
    <hyperlink ref="H48" location="GLOBALIA!A1" display="Cálculo de Globalia" xr:uid="{00000000-0004-0000-0300-000006000000}"/>
    <hyperlink ref="H59" location="GLOBALIA!A1" display="Cálculo de Globalia" xr:uid="{00000000-0004-0000-0300-000007000000}"/>
    <hyperlink ref="H70" location="GLOBALIA!A1" display="Cálculo de Globalia" xr:uid="{00000000-0004-0000-0300-000008000000}"/>
    <hyperlink ref="H23:I23" location="GLOBALIA!A1" display="Haga Clic para el cálculo de Globalia" xr:uid="{00000000-0004-0000-0300-000009000000}"/>
    <hyperlink ref="H37:I37" location="GLOBALIA!A1" display="Haga Clic para el cálculo de Globalia" xr:uid="{00000000-0004-0000-0300-00000A000000}"/>
    <hyperlink ref="H48:I48" location="GLOBALIA!A1" display="Haga Clic para el cálculo de Globalia" xr:uid="{00000000-0004-0000-0300-00000B000000}"/>
    <hyperlink ref="H59:I59" location="GLOBALIA!A1" display="Haga Clic para el cálculo de Globalia" xr:uid="{00000000-0004-0000-0300-00000C000000}"/>
    <hyperlink ref="H70:I70" location="GLOBALIA!A1" display="Haga Clic para el cálculo de Globalia" xr:uid="{00000000-0004-0000-0300-00000D000000}"/>
  </hyperlinks>
  <printOptions horizontalCentered="1" verticalCentered="1"/>
  <pageMargins left="0" right="0" top="0" bottom="0" header="0" footer="0"/>
  <pageSetup paperSize="9" scale="60" orientation="portrait" blackAndWhite="1" r:id="rId2"/>
  <rowBreaks count="2" manualBreakCount="2">
    <brk id="94" max="7" man="1"/>
    <brk id="97" min="94" max="101" man="1"/>
  </row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indexed="53"/>
  </sheetPr>
  <dimension ref="A2:C25"/>
  <sheetViews>
    <sheetView showGridLines="0" workbookViewId="0">
      <selection activeCell="F67" sqref="F67"/>
    </sheetView>
  </sheetViews>
  <sheetFormatPr baseColWidth="10" defaultRowHeight="13.2" x14ac:dyDescent="0.25"/>
  <cols>
    <col min="1" max="1" width="80" customWidth="1"/>
  </cols>
  <sheetData>
    <row r="2" spans="1:1" x14ac:dyDescent="0.25">
      <c r="A2" s="3" t="s">
        <v>107</v>
      </c>
    </row>
    <row r="4" spans="1:1" ht="26.4" x14ac:dyDescent="0.25">
      <c r="A4" s="5" t="s">
        <v>112</v>
      </c>
    </row>
    <row r="6" spans="1:1" x14ac:dyDescent="0.25">
      <c r="A6" t="s">
        <v>108</v>
      </c>
    </row>
    <row r="8" spans="1:1" ht="39.6" x14ac:dyDescent="0.25">
      <c r="A8" s="4" t="s">
        <v>113</v>
      </c>
    </row>
    <row r="10" spans="1:1" ht="39.6" x14ac:dyDescent="0.25">
      <c r="A10" s="4" t="s">
        <v>114</v>
      </c>
    </row>
    <row r="12" spans="1:1" ht="118.8" x14ac:dyDescent="0.25">
      <c r="A12" s="4" t="s">
        <v>117</v>
      </c>
    </row>
    <row r="14" spans="1:1" ht="39.6" x14ac:dyDescent="0.25">
      <c r="A14" s="5" t="s">
        <v>109</v>
      </c>
    </row>
    <row r="17" spans="1:3" ht="39.6" x14ac:dyDescent="0.25">
      <c r="A17" s="4" t="s">
        <v>110</v>
      </c>
    </row>
    <row r="19" spans="1:3" x14ac:dyDescent="0.25">
      <c r="C19" s="2"/>
    </row>
    <row r="20" spans="1:3" ht="39.6" x14ac:dyDescent="0.25">
      <c r="A20" s="4" t="s">
        <v>115</v>
      </c>
    </row>
    <row r="22" spans="1:3" ht="26.4" x14ac:dyDescent="0.25">
      <c r="A22" s="5" t="s">
        <v>111</v>
      </c>
    </row>
    <row r="24" spans="1:3" x14ac:dyDescent="0.25">
      <c r="A24" t="s">
        <v>119</v>
      </c>
    </row>
    <row r="25" spans="1:3" x14ac:dyDescent="0.25">
      <c r="A25" t="s">
        <v>118</v>
      </c>
    </row>
  </sheetData>
  <phoneticPr fontId="0" type="noConversion"/>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indexed="17"/>
  </sheetPr>
  <dimension ref="A1:G102"/>
  <sheetViews>
    <sheetView showGridLines="0" zoomScaleNormal="100" workbookViewId="0"/>
  </sheetViews>
  <sheetFormatPr baseColWidth="10" defaultRowHeight="13.2" x14ac:dyDescent="0.25"/>
  <cols>
    <col min="1" max="1" width="26.44140625" style="179" customWidth="1"/>
    <col min="2" max="2" width="17" style="179" customWidth="1"/>
    <col min="3" max="3" width="23.44140625" style="179" customWidth="1"/>
    <col min="4" max="4" width="26.33203125" style="179" customWidth="1"/>
    <col min="5" max="5" width="17" style="179" customWidth="1"/>
    <col min="6" max="6" width="23.44140625" style="179" customWidth="1"/>
    <col min="7" max="7" width="14.109375" style="179" customWidth="1"/>
    <col min="8" max="8" width="14.44140625" customWidth="1"/>
  </cols>
  <sheetData>
    <row r="1" spans="1:7" x14ac:dyDescent="0.25">
      <c r="A1" s="210" t="s">
        <v>189</v>
      </c>
      <c r="B1" s="180" t="s">
        <v>4</v>
      </c>
      <c r="C1" s="180" t="s">
        <v>102</v>
      </c>
      <c r="D1" s="209" t="s">
        <v>185</v>
      </c>
      <c r="E1" s="175" t="s">
        <v>4</v>
      </c>
      <c r="F1" s="175" t="s">
        <v>202</v>
      </c>
      <c r="G1" s="175" t="s">
        <v>203</v>
      </c>
    </row>
    <row r="2" spans="1:7" ht="15" x14ac:dyDescent="0.25">
      <c r="A2" s="181" t="s">
        <v>155</v>
      </c>
      <c r="B2" s="180"/>
      <c r="C2" s="180"/>
      <c r="D2" s="176" t="s">
        <v>162</v>
      </c>
      <c r="E2" s="175"/>
      <c r="F2" s="175"/>
      <c r="G2" s="175"/>
    </row>
    <row r="3" spans="1:7" x14ac:dyDescent="0.25">
      <c r="A3" s="180" t="s">
        <v>5</v>
      </c>
      <c r="B3" s="180">
        <v>142.04</v>
      </c>
      <c r="C3" s="180">
        <v>63.63</v>
      </c>
      <c r="D3" s="175" t="s">
        <v>5</v>
      </c>
      <c r="E3" s="175">
        <v>132.82</v>
      </c>
      <c r="F3" s="177">
        <v>59.5</v>
      </c>
      <c r="G3" s="178">
        <f t="shared" ref="G3:G66" si="0">F3/2</f>
        <v>29.75</v>
      </c>
    </row>
    <row r="4" spans="1:7" x14ac:dyDescent="0.25">
      <c r="A4" s="180" t="s">
        <v>8</v>
      </c>
      <c r="B4" s="180">
        <v>50.13</v>
      </c>
      <c r="C4" s="180">
        <v>40.49</v>
      </c>
      <c r="D4" s="175" t="s">
        <v>8</v>
      </c>
      <c r="E4" s="175">
        <v>46.88</v>
      </c>
      <c r="F4" s="177">
        <v>37.86</v>
      </c>
      <c r="G4" s="178">
        <f t="shared" si="0"/>
        <v>18.93</v>
      </c>
    </row>
    <row r="5" spans="1:7" x14ac:dyDescent="0.25">
      <c r="A5" s="180" t="s">
        <v>9</v>
      </c>
      <c r="B5" s="180">
        <v>144.61000000000001</v>
      </c>
      <c r="C5" s="180">
        <v>63.63</v>
      </c>
      <c r="D5" s="175" t="s">
        <v>9</v>
      </c>
      <c r="E5" s="175">
        <v>135.22999999999999</v>
      </c>
      <c r="F5" s="177">
        <v>59.5</v>
      </c>
      <c r="G5" s="178">
        <f t="shared" si="0"/>
        <v>29.75</v>
      </c>
    </row>
    <row r="6" spans="1:7" x14ac:dyDescent="0.25">
      <c r="A6" s="180" t="s">
        <v>10</v>
      </c>
      <c r="B6" s="180">
        <v>79.05</v>
      </c>
      <c r="C6" s="180">
        <v>57.84</v>
      </c>
      <c r="D6" s="175" t="s">
        <v>10</v>
      </c>
      <c r="E6" s="175">
        <v>73.92</v>
      </c>
      <c r="F6" s="177">
        <v>54.09</v>
      </c>
      <c r="G6" s="178">
        <f t="shared" si="0"/>
        <v>27.05</v>
      </c>
    </row>
    <row r="7" spans="1:7" x14ac:dyDescent="0.25">
      <c r="A7" s="180" t="s">
        <v>11</v>
      </c>
      <c r="B7" s="180">
        <v>108.62</v>
      </c>
      <c r="C7" s="180">
        <v>47.56</v>
      </c>
      <c r="D7" s="175" t="s">
        <v>11</v>
      </c>
      <c r="E7" s="175">
        <v>101.57</v>
      </c>
      <c r="F7" s="177">
        <v>44.47</v>
      </c>
      <c r="G7" s="178">
        <f t="shared" si="0"/>
        <v>22.24</v>
      </c>
    </row>
    <row r="8" spans="1:7" x14ac:dyDescent="0.25">
      <c r="A8" s="180" t="s">
        <v>12</v>
      </c>
      <c r="B8" s="180">
        <v>118.91</v>
      </c>
      <c r="C8" s="180">
        <v>59.13</v>
      </c>
      <c r="D8" s="175" t="s">
        <v>12</v>
      </c>
      <c r="E8" s="175">
        <v>111.19</v>
      </c>
      <c r="F8" s="177">
        <v>55.29</v>
      </c>
      <c r="G8" s="178">
        <f t="shared" si="0"/>
        <v>27.65</v>
      </c>
    </row>
    <row r="9" spans="1:7" x14ac:dyDescent="0.25">
      <c r="A9" s="180" t="s">
        <v>13</v>
      </c>
      <c r="B9" s="180">
        <v>86.77</v>
      </c>
      <c r="C9" s="180">
        <v>54.64</v>
      </c>
      <c r="D9" s="175" t="s">
        <v>13</v>
      </c>
      <c r="E9" s="175">
        <v>81.14</v>
      </c>
      <c r="F9" s="177">
        <v>51.09</v>
      </c>
      <c r="G9" s="178">
        <f t="shared" si="0"/>
        <v>25.55</v>
      </c>
    </row>
    <row r="10" spans="1:7" x14ac:dyDescent="0.25">
      <c r="A10" s="180" t="s">
        <v>14</v>
      </c>
      <c r="B10" s="180">
        <v>102.19</v>
      </c>
      <c r="C10" s="180">
        <v>62.99</v>
      </c>
      <c r="D10" s="175" t="s">
        <v>14</v>
      </c>
      <c r="E10" s="175">
        <v>95.56</v>
      </c>
      <c r="F10" s="177">
        <v>58.9</v>
      </c>
      <c r="G10" s="178">
        <f t="shared" si="0"/>
        <v>29.45</v>
      </c>
    </row>
    <row r="11" spans="1:7" x14ac:dyDescent="0.25">
      <c r="A11" s="180" t="s">
        <v>15</v>
      </c>
      <c r="B11" s="180">
        <v>158.75</v>
      </c>
      <c r="C11" s="180">
        <v>88.7</v>
      </c>
      <c r="D11" s="175" t="s">
        <v>15</v>
      </c>
      <c r="E11" s="175">
        <v>148.44999999999999</v>
      </c>
      <c r="F11" s="177">
        <v>82.94</v>
      </c>
      <c r="G11" s="178">
        <f t="shared" si="0"/>
        <v>41.47</v>
      </c>
    </row>
    <row r="12" spans="1:7" x14ac:dyDescent="0.25">
      <c r="A12" s="180" t="s">
        <v>16</v>
      </c>
      <c r="B12" s="180">
        <v>54.64</v>
      </c>
      <c r="C12" s="180">
        <v>39.200000000000003</v>
      </c>
      <c r="D12" s="175" t="s">
        <v>16</v>
      </c>
      <c r="E12" s="175">
        <v>51.09</v>
      </c>
      <c r="F12" s="177">
        <v>36.659999999999997</v>
      </c>
      <c r="G12" s="178">
        <f t="shared" si="0"/>
        <v>18.329999999999998</v>
      </c>
    </row>
    <row r="13" spans="1:7" x14ac:dyDescent="0.25">
      <c r="A13" s="180" t="s">
        <v>17</v>
      </c>
      <c r="B13" s="180">
        <v>77.77</v>
      </c>
      <c r="C13" s="180">
        <v>53.34</v>
      </c>
      <c r="D13" s="175" t="s">
        <v>17</v>
      </c>
      <c r="E13" s="175">
        <v>72.72</v>
      </c>
      <c r="F13" s="177">
        <v>49.88</v>
      </c>
      <c r="G13" s="178">
        <f t="shared" si="0"/>
        <v>24.94</v>
      </c>
    </row>
    <row r="14" spans="1:7" x14ac:dyDescent="0.25">
      <c r="A14" s="180" t="s">
        <v>18</v>
      </c>
      <c r="B14" s="180">
        <v>136.9</v>
      </c>
      <c r="C14" s="180">
        <v>84.84</v>
      </c>
      <c r="D14" s="175" t="s">
        <v>18</v>
      </c>
      <c r="E14" s="175">
        <v>128.02000000000001</v>
      </c>
      <c r="F14" s="177">
        <v>79.33</v>
      </c>
      <c r="G14" s="178">
        <f t="shared" si="0"/>
        <v>39.67</v>
      </c>
    </row>
    <row r="15" spans="1:7" x14ac:dyDescent="0.25">
      <c r="A15" s="180" t="s">
        <v>19</v>
      </c>
      <c r="B15" s="180">
        <v>57.2</v>
      </c>
      <c r="C15" s="180">
        <v>40.49</v>
      </c>
      <c r="D15" s="175" t="s">
        <v>19</v>
      </c>
      <c r="E15" s="175">
        <v>53.49</v>
      </c>
      <c r="F15" s="177">
        <v>37.86</v>
      </c>
      <c r="G15" s="178">
        <f t="shared" si="0"/>
        <v>18.93</v>
      </c>
    </row>
    <row r="16" spans="1:7" x14ac:dyDescent="0.25">
      <c r="A16" s="180" t="s">
        <v>21</v>
      </c>
      <c r="B16" s="180">
        <v>94.48</v>
      </c>
      <c r="C16" s="180">
        <v>52.06</v>
      </c>
      <c r="D16" s="175" t="s">
        <v>21</v>
      </c>
      <c r="E16" s="175">
        <v>88.35</v>
      </c>
      <c r="F16" s="177">
        <v>48.68</v>
      </c>
      <c r="G16" s="178">
        <f t="shared" si="0"/>
        <v>24.34</v>
      </c>
    </row>
    <row r="17" spans="1:7" x14ac:dyDescent="0.25">
      <c r="A17" s="180" t="s">
        <v>20</v>
      </c>
      <c r="B17" s="180">
        <v>100.91</v>
      </c>
      <c r="C17" s="180">
        <v>55.28</v>
      </c>
      <c r="D17" s="175" t="s">
        <v>20</v>
      </c>
      <c r="E17" s="175">
        <v>94.36</v>
      </c>
      <c r="F17" s="177">
        <v>51.69</v>
      </c>
      <c r="G17" s="178">
        <f t="shared" si="0"/>
        <v>25.85</v>
      </c>
    </row>
    <row r="18" spans="1:7" x14ac:dyDescent="0.25">
      <c r="A18" s="180" t="s">
        <v>22</v>
      </c>
      <c r="B18" s="180">
        <v>109.26</v>
      </c>
      <c r="C18" s="180">
        <v>53.99</v>
      </c>
      <c r="D18" s="175" t="s">
        <v>22</v>
      </c>
      <c r="E18" s="175">
        <v>102.17</v>
      </c>
      <c r="F18" s="177">
        <v>50.49</v>
      </c>
      <c r="G18" s="178">
        <f t="shared" si="0"/>
        <v>25.25</v>
      </c>
    </row>
    <row r="19" spans="1:7" x14ac:dyDescent="0.25">
      <c r="A19" s="180" t="s">
        <v>23</v>
      </c>
      <c r="B19" s="180">
        <v>76.48</v>
      </c>
      <c r="C19" s="180">
        <v>49.49</v>
      </c>
      <c r="D19" s="175" t="s">
        <v>23</v>
      </c>
      <c r="E19" s="175">
        <v>71.52</v>
      </c>
      <c r="F19" s="177">
        <v>46.28</v>
      </c>
      <c r="G19" s="178">
        <f t="shared" si="0"/>
        <v>23.14</v>
      </c>
    </row>
    <row r="20" spans="1:7" x14ac:dyDescent="0.25">
      <c r="A20" s="180" t="s">
        <v>24</v>
      </c>
      <c r="B20" s="180">
        <v>132.4</v>
      </c>
      <c r="C20" s="180">
        <v>83.55</v>
      </c>
      <c r="D20" s="175" t="s">
        <v>24</v>
      </c>
      <c r="E20" s="175">
        <v>123.81</v>
      </c>
      <c r="F20" s="177">
        <v>78.13</v>
      </c>
      <c r="G20" s="178">
        <f t="shared" si="0"/>
        <v>39.07</v>
      </c>
    </row>
    <row r="21" spans="1:7" x14ac:dyDescent="0.25">
      <c r="A21" s="180" t="s">
        <v>25</v>
      </c>
      <c r="B21" s="180">
        <v>109.26</v>
      </c>
      <c r="C21" s="180">
        <v>59.13</v>
      </c>
      <c r="D21" s="175" t="s">
        <v>25</v>
      </c>
      <c r="E21" s="175">
        <v>102.17</v>
      </c>
      <c r="F21" s="177">
        <v>55.29</v>
      </c>
      <c r="G21" s="178">
        <f t="shared" si="0"/>
        <v>27.65</v>
      </c>
    </row>
    <row r="22" spans="1:7" x14ac:dyDescent="0.25">
      <c r="A22" s="180" t="s">
        <v>26</v>
      </c>
      <c r="B22" s="180">
        <v>65.55</v>
      </c>
      <c r="C22" s="180">
        <v>52.7</v>
      </c>
      <c r="D22" s="175" t="s">
        <v>26</v>
      </c>
      <c r="E22" s="175">
        <v>61.3</v>
      </c>
      <c r="F22" s="177">
        <v>49.28</v>
      </c>
      <c r="G22" s="178">
        <f t="shared" si="0"/>
        <v>24.64</v>
      </c>
    </row>
    <row r="23" spans="1:7" x14ac:dyDescent="0.25">
      <c r="A23" s="180" t="s">
        <v>27</v>
      </c>
      <c r="B23" s="180">
        <v>70.06</v>
      </c>
      <c r="C23" s="180">
        <v>47.56</v>
      </c>
      <c r="D23" s="175" t="s">
        <v>27</v>
      </c>
      <c r="E23" s="175">
        <v>65.510000000000005</v>
      </c>
      <c r="F23" s="177">
        <v>44.47</v>
      </c>
      <c r="G23" s="178">
        <f t="shared" si="0"/>
        <v>22.24</v>
      </c>
    </row>
    <row r="24" spans="1:7" x14ac:dyDescent="0.25">
      <c r="A24" s="180" t="s">
        <v>28</v>
      </c>
      <c r="B24" s="180">
        <v>77.77</v>
      </c>
      <c r="C24" s="180">
        <v>53.34</v>
      </c>
      <c r="D24" s="175" t="s">
        <v>28</v>
      </c>
      <c r="E24" s="175">
        <v>72.72</v>
      </c>
      <c r="F24" s="177">
        <v>49.88</v>
      </c>
      <c r="G24" s="178">
        <f t="shared" si="0"/>
        <v>24.94</v>
      </c>
    </row>
    <row r="25" spans="1:7" x14ac:dyDescent="0.25">
      <c r="A25" s="180" t="s">
        <v>29</v>
      </c>
      <c r="B25" s="180">
        <v>60.42</v>
      </c>
      <c r="C25" s="180">
        <v>35.35</v>
      </c>
      <c r="D25" s="175" t="s">
        <v>29</v>
      </c>
      <c r="E25" s="175">
        <v>56.5</v>
      </c>
      <c r="F25" s="177">
        <v>33.06</v>
      </c>
      <c r="G25" s="178">
        <f t="shared" si="0"/>
        <v>16.53</v>
      </c>
    </row>
    <row r="26" spans="1:7" x14ac:dyDescent="0.25">
      <c r="A26" s="180" t="s">
        <v>30</v>
      </c>
      <c r="B26" s="180">
        <v>131.12</v>
      </c>
      <c r="C26" s="180">
        <v>69.41</v>
      </c>
      <c r="D26" s="175" t="s">
        <v>30</v>
      </c>
      <c r="E26" s="175">
        <v>122.61</v>
      </c>
      <c r="F26" s="177">
        <v>64.91</v>
      </c>
      <c r="G26" s="178">
        <f t="shared" si="0"/>
        <v>32.46</v>
      </c>
    </row>
    <row r="27" spans="1:7" x14ac:dyDescent="0.25">
      <c r="A27" s="180" t="s">
        <v>31</v>
      </c>
      <c r="B27" s="180">
        <v>69.41</v>
      </c>
      <c r="C27" s="180">
        <v>46.24</v>
      </c>
      <c r="D27" s="175" t="s">
        <v>31</v>
      </c>
      <c r="E27" s="175">
        <v>64.91</v>
      </c>
      <c r="F27" s="177">
        <v>43.27</v>
      </c>
      <c r="G27" s="178">
        <f t="shared" si="0"/>
        <v>21.64</v>
      </c>
    </row>
    <row r="28" spans="1:7" x14ac:dyDescent="0.25">
      <c r="A28" s="180" t="s">
        <v>32</v>
      </c>
      <c r="B28" s="180">
        <v>97.69</v>
      </c>
      <c r="C28" s="180">
        <v>41.78</v>
      </c>
      <c r="D28" s="175" t="s">
        <v>32</v>
      </c>
      <c r="E28" s="175">
        <v>91.35</v>
      </c>
      <c r="F28" s="177">
        <v>39.07</v>
      </c>
      <c r="G28" s="178">
        <f t="shared" si="0"/>
        <v>19.54</v>
      </c>
    </row>
    <row r="29" spans="1:7" x14ac:dyDescent="0.25">
      <c r="A29" s="180" t="s">
        <v>33</v>
      </c>
      <c r="B29" s="180">
        <v>70.7</v>
      </c>
      <c r="C29" s="180">
        <v>46.27</v>
      </c>
      <c r="D29" s="175" t="s">
        <v>33</v>
      </c>
      <c r="E29" s="175">
        <v>66.11</v>
      </c>
      <c r="F29" s="177">
        <v>43.27</v>
      </c>
      <c r="G29" s="178">
        <f t="shared" si="0"/>
        <v>21.64</v>
      </c>
    </row>
    <row r="30" spans="1:7" x14ac:dyDescent="0.25">
      <c r="A30" s="180" t="s">
        <v>34</v>
      </c>
      <c r="B30" s="180">
        <v>108.62</v>
      </c>
      <c r="C30" s="180">
        <v>60.42</v>
      </c>
      <c r="D30" s="175" t="s">
        <v>34</v>
      </c>
      <c r="E30" s="175">
        <v>101.57</v>
      </c>
      <c r="F30" s="177">
        <v>56.5</v>
      </c>
      <c r="G30" s="178">
        <f t="shared" si="0"/>
        <v>28.25</v>
      </c>
    </row>
    <row r="31" spans="1:7" x14ac:dyDescent="0.25">
      <c r="A31" s="180" t="s">
        <v>35</v>
      </c>
      <c r="B31" s="180">
        <v>80.989999999999995</v>
      </c>
      <c r="C31" s="180">
        <v>46.27</v>
      </c>
      <c r="D31" s="175" t="s">
        <v>35</v>
      </c>
      <c r="E31" s="175">
        <v>75.73</v>
      </c>
      <c r="F31" s="177">
        <v>43.27</v>
      </c>
      <c r="G31" s="178">
        <f t="shared" si="0"/>
        <v>21.64</v>
      </c>
    </row>
    <row r="32" spans="1:7" x14ac:dyDescent="0.25">
      <c r="A32" s="180" t="s">
        <v>36</v>
      </c>
      <c r="B32" s="180">
        <v>152.97</v>
      </c>
      <c r="C32" s="180">
        <v>74.56</v>
      </c>
      <c r="D32" s="175" t="s">
        <v>36</v>
      </c>
      <c r="E32" s="175">
        <v>143.04</v>
      </c>
      <c r="F32" s="177">
        <v>69.72</v>
      </c>
      <c r="G32" s="178">
        <f t="shared" si="0"/>
        <v>34.86</v>
      </c>
    </row>
    <row r="33" spans="1:7" x14ac:dyDescent="0.25">
      <c r="A33" s="180" t="s">
        <v>37</v>
      </c>
      <c r="B33" s="180">
        <v>127.9</v>
      </c>
      <c r="C33" s="180">
        <v>40.49</v>
      </c>
      <c r="D33" s="175" t="s">
        <v>37</v>
      </c>
      <c r="E33" s="175">
        <v>119.6</v>
      </c>
      <c r="F33" s="177">
        <v>37.86</v>
      </c>
      <c r="G33" s="178">
        <f t="shared" si="0"/>
        <v>18.93</v>
      </c>
    </row>
    <row r="34" spans="1:7" x14ac:dyDescent="0.25">
      <c r="A34" s="180" t="s">
        <v>38</v>
      </c>
      <c r="B34" s="180">
        <v>76.48</v>
      </c>
      <c r="C34" s="180">
        <v>42.42</v>
      </c>
      <c r="D34" s="175" t="s">
        <v>38</v>
      </c>
      <c r="E34" s="175">
        <v>71.52</v>
      </c>
      <c r="F34" s="177">
        <v>39.67</v>
      </c>
      <c r="G34" s="178">
        <f t="shared" si="0"/>
        <v>19.84</v>
      </c>
    </row>
    <row r="35" spans="1:7" x14ac:dyDescent="0.25">
      <c r="A35" s="180" t="s">
        <v>39</v>
      </c>
      <c r="B35" s="180">
        <v>122.76</v>
      </c>
      <c r="C35" s="180">
        <v>70.06</v>
      </c>
      <c r="D35" s="175" t="s">
        <v>39</v>
      </c>
      <c r="E35" s="175">
        <v>114.79</v>
      </c>
      <c r="F35" s="177">
        <v>65.510000000000005</v>
      </c>
      <c r="G35" s="178">
        <f t="shared" si="0"/>
        <v>32.76</v>
      </c>
    </row>
    <row r="36" spans="1:7" x14ac:dyDescent="0.25">
      <c r="A36" s="180" t="s">
        <v>7</v>
      </c>
      <c r="B36" s="180">
        <v>131.12</v>
      </c>
      <c r="C36" s="180">
        <v>70.06</v>
      </c>
      <c r="D36" s="175" t="s">
        <v>7</v>
      </c>
      <c r="E36" s="175">
        <v>122.61</v>
      </c>
      <c r="F36" s="177">
        <v>65.510000000000005</v>
      </c>
      <c r="G36" s="178">
        <f t="shared" si="0"/>
        <v>32.76</v>
      </c>
    </row>
    <row r="37" spans="1:7" x14ac:dyDescent="0.25">
      <c r="A37" s="180" t="s">
        <v>40</v>
      </c>
      <c r="B37" s="180">
        <v>107.34</v>
      </c>
      <c r="C37" s="180">
        <v>56.56</v>
      </c>
      <c r="D37" s="175" t="s">
        <v>204</v>
      </c>
      <c r="E37" s="175">
        <v>100.37</v>
      </c>
      <c r="F37" s="177">
        <v>52.89</v>
      </c>
      <c r="G37" s="178">
        <f t="shared" si="0"/>
        <v>26.45</v>
      </c>
    </row>
    <row r="38" spans="1:7" x14ac:dyDescent="0.25">
      <c r="A38" s="180" t="s">
        <v>41</v>
      </c>
      <c r="B38" s="180">
        <v>71.34</v>
      </c>
      <c r="C38" s="180">
        <v>39.85</v>
      </c>
      <c r="D38" s="175" t="s">
        <v>205</v>
      </c>
      <c r="E38" s="175">
        <v>66.709999999999994</v>
      </c>
      <c r="F38" s="177">
        <v>37.26</v>
      </c>
      <c r="G38" s="178">
        <f t="shared" si="0"/>
        <v>18.63</v>
      </c>
    </row>
    <row r="39" spans="1:7" x14ac:dyDescent="0.25">
      <c r="A39" s="180" t="s">
        <v>42</v>
      </c>
      <c r="B39" s="180">
        <v>73.92</v>
      </c>
      <c r="C39" s="180">
        <v>41.78</v>
      </c>
      <c r="D39" s="175" t="s">
        <v>42</v>
      </c>
      <c r="E39" s="175">
        <v>69.12</v>
      </c>
      <c r="F39" s="177">
        <v>39.07</v>
      </c>
      <c r="G39" s="178">
        <f t="shared" si="0"/>
        <v>19.54</v>
      </c>
    </row>
    <row r="40" spans="1:7" x14ac:dyDescent="0.25">
      <c r="A40" s="180" t="s">
        <v>43</v>
      </c>
      <c r="B40" s="180">
        <v>95.76</v>
      </c>
      <c r="C40" s="180">
        <v>45.63</v>
      </c>
      <c r="D40" s="175" t="s">
        <v>43</v>
      </c>
      <c r="E40" s="175">
        <v>89.55</v>
      </c>
      <c r="F40" s="177">
        <v>42.67</v>
      </c>
      <c r="G40" s="178">
        <f t="shared" si="0"/>
        <v>21.34</v>
      </c>
    </row>
    <row r="41" spans="1:7" x14ac:dyDescent="0.25">
      <c r="A41" s="180" t="s">
        <v>44</v>
      </c>
      <c r="B41" s="180">
        <v>93.84</v>
      </c>
      <c r="C41" s="180">
        <v>53.99</v>
      </c>
      <c r="D41" s="175" t="s">
        <v>44</v>
      </c>
      <c r="E41" s="175">
        <v>87.75</v>
      </c>
      <c r="F41" s="177">
        <v>50.49</v>
      </c>
      <c r="G41" s="178">
        <f t="shared" si="0"/>
        <v>25.25</v>
      </c>
    </row>
    <row r="42" spans="1:7" x14ac:dyDescent="0.25">
      <c r="A42" s="180" t="s">
        <v>45</v>
      </c>
      <c r="B42" s="180">
        <v>48.21</v>
      </c>
      <c r="C42" s="180">
        <v>40.49</v>
      </c>
      <c r="D42" s="175" t="s">
        <v>45</v>
      </c>
      <c r="E42" s="175">
        <v>45.08</v>
      </c>
      <c r="F42" s="177">
        <v>37.86</v>
      </c>
      <c r="G42" s="178">
        <f t="shared" si="0"/>
        <v>18.93</v>
      </c>
    </row>
    <row r="43" spans="1:7" x14ac:dyDescent="0.25">
      <c r="A43" s="180" t="s">
        <v>46</v>
      </c>
      <c r="B43" s="180">
        <v>74.56</v>
      </c>
      <c r="C43" s="180">
        <v>44.99</v>
      </c>
      <c r="D43" s="175" t="s">
        <v>46</v>
      </c>
      <c r="E43" s="175">
        <v>69.72</v>
      </c>
      <c r="F43" s="177">
        <v>42.07</v>
      </c>
      <c r="G43" s="178">
        <f t="shared" si="0"/>
        <v>21.04</v>
      </c>
    </row>
    <row r="44" spans="1:7" x14ac:dyDescent="0.25">
      <c r="A44" s="180" t="s">
        <v>47</v>
      </c>
      <c r="B44" s="180">
        <v>129.63</v>
      </c>
      <c r="C44" s="180">
        <v>55.28</v>
      </c>
      <c r="D44" s="175" t="s">
        <v>47</v>
      </c>
      <c r="E44" s="175">
        <v>121.4</v>
      </c>
      <c r="F44" s="177">
        <v>51.69</v>
      </c>
      <c r="G44" s="178">
        <f t="shared" si="0"/>
        <v>25.85</v>
      </c>
    </row>
    <row r="45" spans="1:7" x14ac:dyDescent="0.25">
      <c r="A45" s="180" t="s">
        <v>48</v>
      </c>
      <c r="B45" s="180">
        <v>123.4</v>
      </c>
      <c r="C45" s="180">
        <v>49.49</v>
      </c>
      <c r="D45" s="175" t="s">
        <v>48</v>
      </c>
      <c r="E45" s="175">
        <v>115.39</v>
      </c>
      <c r="F45" s="177">
        <v>46.28</v>
      </c>
      <c r="G45" s="178">
        <f t="shared" si="0"/>
        <v>23.14</v>
      </c>
    </row>
    <row r="46" spans="1:7" x14ac:dyDescent="0.25">
      <c r="A46" s="180" t="s">
        <v>49</v>
      </c>
      <c r="B46" s="180">
        <v>106.69</v>
      </c>
      <c r="C46" s="180">
        <v>41.13</v>
      </c>
      <c r="D46" s="175" t="s">
        <v>49</v>
      </c>
      <c r="E46" s="175">
        <v>99.77</v>
      </c>
      <c r="F46" s="177">
        <v>38.46</v>
      </c>
      <c r="G46" s="178">
        <f t="shared" si="0"/>
        <v>19.23</v>
      </c>
    </row>
    <row r="47" spans="1:7" x14ac:dyDescent="0.25">
      <c r="A47" s="180" t="s">
        <v>50</v>
      </c>
      <c r="B47" s="180">
        <v>109.26</v>
      </c>
      <c r="C47" s="180">
        <v>45.63</v>
      </c>
      <c r="D47" s="175" t="s">
        <v>50</v>
      </c>
      <c r="E47" s="175">
        <v>102.17</v>
      </c>
      <c r="F47" s="177">
        <v>42.67</v>
      </c>
      <c r="G47" s="178">
        <f t="shared" si="0"/>
        <v>21.34</v>
      </c>
    </row>
    <row r="48" spans="1:7" x14ac:dyDescent="0.25">
      <c r="A48" s="180" t="s">
        <v>51</v>
      </c>
      <c r="B48" s="180">
        <v>70.7</v>
      </c>
      <c r="C48" s="180">
        <v>41.78</v>
      </c>
      <c r="D48" s="175" t="s">
        <v>51</v>
      </c>
      <c r="E48" s="175">
        <v>66.11</v>
      </c>
      <c r="F48" s="177">
        <v>39.07</v>
      </c>
      <c r="G48" s="178">
        <f t="shared" si="0"/>
        <v>19.54</v>
      </c>
    </row>
    <row r="49" spans="1:7" x14ac:dyDescent="0.25">
      <c r="A49" s="180" t="s">
        <v>52</v>
      </c>
      <c r="B49" s="180">
        <v>86.13</v>
      </c>
      <c r="C49" s="180">
        <v>47.56</v>
      </c>
      <c r="D49" s="175" t="s">
        <v>52</v>
      </c>
      <c r="E49" s="175">
        <v>80.540000000000006</v>
      </c>
      <c r="F49" s="177">
        <v>44.47</v>
      </c>
      <c r="G49" s="178">
        <f t="shared" si="0"/>
        <v>22.24</v>
      </c>
    </row>
    <row r="50" spans="1:7" x14ac:dyDescent="0.25">
      <c r="A50" s="180" t="s">
        <v>53</v>
      </c>
      <c r="B50" s="180">
        <v>99.63</v>
      </c>
      <c r="C50" s="180">
        <v>51.42</v>
      </c>
      <c r="D50" s="175" t="s">
        <v>53</v>
      </c>
      <c r="E50" s="175">
        <v>93.16</v>
      </c>
      <c r="F50" s="177">
        <v>48.08</v>
      </c>
      <c r="G50" s="178">
        <f t="shared" si="0"/>
        <v>24.04</v>
      </c>
    </row>
    <row r="51" spans="1:7" x14ac:dyDescent="0.25">
      <c r="A51" s="180" t="s">
        <v>54</v>
      </c>
      <c r="B51" s="180">
        <v>98.98</v>
      </c>
      <c r="C51" s="180">
        <v>60.42</v>
      </c>
      <c r="D51" s="175" t="s">
        <v>54</v>
      </c>
      <c r="E51" s="175">
        <v>92.56</v>
      </c>
      <c r="F51" s="177">
        <v>56.5</v>
      </c>
      <c r="G51" s="178">
        <f t="shared" si="0"/>
        <v>28.25</v>
      </c>
    </row>
    <row r="52" spans="1:7" x14ac:dyDescent="0.25">
      <c r="A52" s="180" t="s">
        <v>6</v>
      </c>
      <c r="B52" s="180">
        <v>140.11000000000001</v>
      </c>
      <c r="C52" s="180">
        <v>67.489999999999995</v>
      </c>
      <c r="D52" s="175" t="s">
        <v>6</v>
      </c>
      <c r="E52" s="175">
        <v>131.02000000000001</v>
      </c>
      <c r="F52" s="177">
        <v>63.11</v>
      </c>
      <c r="G52" s="178">
        <f t="shared" si="0"/>
        <v>31.56</v>
      </c>
    </row>
    <row r="53" spans="1:7" x14ac:dyDescent="0.25">
      <c r="A53" s="180" t="s">
        <v>55</v>
      </c>
      <c r="B53" s="180">
        <v>82.27</v>
      </c>
      <c r="C53" s="180">
        <v>49.49</v>
      </c>
      <c r="D53" s="175" t="s">
        <v>55</v>
      </c>
      <c r="E53" s="175">
        <v>76.930000000000007</v>
      </c>
      <c r="F53" s="177">
        <v>46.28</v>
      </c>
      <c r="G53" s="178">
        <f t="shared" si="0"/>
        <v>23.14</v>
      </c>
    </row>
    <row r="54" spans="1:7" x14ac:dyDescent="0.25">
      <c r="A54" s="180" t="s">
        <v>56</v>
      </c>
      <c r="B54" s="180">
        <v>170.96</v>
      </c>
      <c r="C54" s="180">
        <v>103.48</v>
      </c>
      <c r="D54" s="175" t="s">
        <v>56</v>
      </c>
      <c r="E54" s="175">
        <v>159.87</v>
      </c>
      <c r="F54" s="177">
        <v>96.76</v>
      </c>
      <c r="G54" s="178">
        <f t="shared" si="0"/>
        <v>48.38</v>
      </c>
    </row>
    <row r="55" spans="1:7" x14ac:dyDescent="0.25">
      <c r="A55" s="180" t="s">
        <v>57</v>
      </c>
      <c r="B55" s="180">
        <v>99.63</v>
      </c>
      <c r="C55" s="180">
        <v>45.63</v>
      </c>
      <c r="D55" s="175" t="s">
        <v>57</v>
      </c>
      <c r="E55" s="175">
        <v>93.16</v>
      </c>
      <c r="F55" s="177">
        <v>42.67</v>
      </c>
      <c r="G55" s="178">
        <f t="shared" si="0"/>
        <v>21.34</v>
      </c>
    </row>
    <row r="56" spans="1:7" x14ac:dyDescent="0.25">
      <c r="A56" s="180" t="s">
        <v>58</v>
      </c>
      <c r="B56" s="180">
        <v>88.05</v>
      </c>
      <c r="C56" s="180">
        <v>42.42</v>
      </c>
      <c r="D56" s="175" t="s">
        <v>58</v>
      </c>
      <c r="E56" s="175">
        <v>82.34</v>
      </c>
      <c r="F56" s="177">
        <v>39.67</v>
      </c>
      <c r="G56" s="178">
        <f t="shared" si="0"/>
        <v>19.84</v>
      </c>
    </row>
    <row r="57" spans="1:7" x14ac:dyDescent="0.25">
      <c r="A57" s="180" t="s">
        <v>59</v>
      </c>
      <c r="B57" s="180">
        <v>131.12</v>
      </c>
      <c r="C57" s="180">
        <v>47.56</v>
      </c>
      <c r="D57" s="175" t="s">
        <v>59</v>
      </c>
      <c r="E57" s="175">
        <v>122.61</v>
      </c>
      <c r="F57" s="177">
        <v>44.47</v>
      </c>
      <c r="G57" s="178">
        <f t="shared" si="0"/>
        <v>22.24</v>
      </c>
    </row>
    <row r="58" spans="1:7" x14ac:dyDescent="0.25">
      <c r="A58" s="180" t="s">
        <v>60</v>
      </c>
      <c r="B58" s="180">
        <v>123.4</v>
      </c>
      <c r="C58" s="180">
        <v>37.28</v>
      </c>
      <c r="D58" s="175" t="s">
        <v>60</v>
      </c>
      <c r="E58" s="175">
        <v>115.39</v>
      </c>
      <c r="F58" s="177">
        <v>34.86</v>
      </c>
      <c r="G58" s="178">
        <f t="shared" si="0"/>
        <v>17.43</v>
      </c>
    </row>
    <row r="59" spans="1:7" x14ac:dyDescent="0.25">
      <c r="A59" s="180" t="s">
        <v>61</v>
      </c>
      <c r="B59" s="180">
        <v>109.26</v>
      </c>
      <c r="C59" s="180">
        <v>58.49</v>
      </c>
      <c r="D59" s="175" t="s">
        <v>61</v>
      </c>
      <c r="E59" s="175">
        <v>102.17</v>
      </c>
      <c r="F59" s="177">
        <v>54.69</v>
      </c>
      <c r="G59" s="178">
        <f t="shared" si="0"/>
        <v>27.35</v>
      </c>
    </row>
    <row r="60" spans="1:7" x14ac:dyDescent="0.25">
      <c r="A60" s="180" t="s">
        <v>62</v>
      </c>
      <c r="B60" s="180">
        <v>145.26</v>
      </c>
      <c r="C60" s="180">
        <v>59.77</v>
      </c>
      <c r="D60" s="175" t="s">
        <v>62</v>
      </c>
      <c r="E60" s="175">
        <v>135.83000000000001</v>
      </c>
      <c r="F60" s="177">
        <v>55.89</v>
      </c>
      <c r="G60" s="178">
        <f t="shared" si="0"/>
        <v>27.95</v>
      </c>
    </row>
    <row r="61" spans="1:7" x14ac:dyDescent="0.25">
      <c r="A61" s="180" t="s">
        <v>63</v>
      </c>
      <c r="B61" s="180">
        <v>98.33</v>
      </c>
      <c r="C61" s="180">
        <v>36.64</v>
      </c>
      <c r="D61" s="175" t="s">
        <v>63</v>
      </c>
      <c r="E61" s="175">
        <v>91.95</v>
      </c>
      <c r="F61" s="177">
        <v>34.26</v>
      </c>
      <c r="G61" s="178">
        <f t="shared" si="0"/>
        <v>17.13</v>
      </c>
    </row>
    <row r="62" spans="1:7" x14ac:dyDescent="0.25">
      <c r="A62" s="180" t="s">
        <v>64</v>
      </c>
      <c r="B62" s="180">
        <v>49.49</v>
      </c>
      <c r="C62" s="180">
        <v>34.06</v>
      </c>
      <c r="D62" s="175" t="s">
        <v>64</v>
      </c>
      <c r="E62" s="175">
        <v>46.28</v>
      </c>
      <c r="F62" s="177">
        <v>31.85</v>
      </c>
      <c r="G62" s="178">
        <f t="shared" si="0"/>
        <v>15.93</v>
      </c>
    </row>
    <row r="63" spans="1:7" x14ac:dyDescent="0.25">
      <c r="A63" s="180" t="s">
        <v>65</v>
      </c>
      <c r="B63" s="180">
        <v>106.05</v>
      </c>
      <c r="C63" s="180">
        <v>42.42</v>
      </c>
      <c r="D63" s="175" t="s">
        <v>65</v>
      </c>
      <c r="E63" s="175">
        <v>99.17</v>
      </c>
      <c r="F63" s="177">
        <v>39.67</v>
      </c>
      <c r="G63" s="178">
        <f t="shared" si="0"/>
        <v>19.84</v>
      </c>
    </row>
    <row r="64" spans="1:7" x14ac:dyDescent="0.25">
      <c r="A64" s="180" t="s">
        <v>66</v>
      </c>
      <c r="B64" s="180">
        <v>52.7</v>
      </c>
      <c r="C64" s="180">
        <v>41.78</v>
      </c>
      <c r="D64" s="175" t="s">
        <v>66</v>
      </c>
      <c r="E64" s="175">
        <v>49.28</v>
      </c>
      <c r="F64" s="177">
        <v>39.07</v>
      </c>
      <c r="G64" s="178">
        <f t="shared" si="0"/>
        <v>19.54</v>
      </c>
    </row>
    <row r="65" spans="1:7" x14ac:dyDescent="0.25">
      <c r="A65" s="180" t="s">
        <v>67</v>
      </c>
      <c r="B65" s="180">
        <v>87.41</v>
      </c>
      <c r="C65" s="180">
        <v>46.27</v>
      </c>
      <c r="D65" s="175" t="s">
        <v>67</v>
      </c>
      <c r="E65" s="175">
        <v>81.739999999999995</v>
      </c>
      <c r="F65" s="177">
        <v>43.27</v>
      </c>
      <c r="G65" s="178">
        <f t="shared" si="0"/>
        <v>21.64</v>
      </c>
    </row>
    <row r="66" spans="1:7" x14ac:dyDescent="0.25">
      <c r="A66" s="180" t="s">
        <v>68</v>
      </c>
      <c r="B66" s="180">
        <v>71.98</v>
      </c>
      <c r="C66" s="180">
        <v>45.63</v>
      </c>
      <c r="D66" s="175" t="s">
        <v>68</v>
      </c>
      <c r="E66" s="175">
        <v>67.31</v>
      </c>
      <c r="F66" s="177">
        <v>42.67</v>
      </c>
      <c r="G66" s="178">
        <f t="shared" si="0"/>
        <v>21.34</v>
      </c>
    </row>
    <row r="67" spans="1:7" x14ac:dyDescent="0.25">
      <c r="A67" s="180" t="s">
        <v>69</v>
      </c>
      <c r="B67" s="180">
        <v>100.91</v>
      </c>
      <c r="C67" s="180">
        <v>56.56</v>
      </c>
      <c r="D67" s="175" t="s">
        <v>69</v>
      </c>
      <c r="E67" s="175">
        <v>94.36</v>
      </c>
      <c r="F67" s="177">
        <v>52.89</v>
      </c>
      <c r="G67" s="178">
        <f t="shared" ref="G67:G83" si="1">F67/2</f>
        <v>26.45</v>
      </c>
    </row>
    <row r="68" spans="1:7" x14ac:dyDescent="0.25">
      <c r="A68" s="180" t="s">
        <v>70</v>
      </c>
      <c r="B68" s="180">
        <v>125.98</v>
      </c>
      <c r="C68" s="180">
        <v>50.13</v>
      </c>
      <c r="D68" s="175" t="s">
        <v>70</v>
      </c>
      <c r="E68" s="175">
        <v>117.8</v>
      </c>
      <c r="F68" s="177">
        <v>46.58</v>
      </c>
      <c r="G68" s="178">
        <f t="shared" si="1"/>
        <v>23.29</v>
      </c>
    </row>
    <row r="69" spans="1:7" x14ac:dyDescent="0.25">
      <c r="A69" s="180" t="s">
        <v>71</v>
      </c>
      <c r="B69" s="180">
        <v>142.04</v>
      </c>
      <c r="C69" s="180">
        <v>86.13</v>
      </c>
      <c r="D69" s="175" t="s">
        <v>71</v>
      </c>
      <c r="E69" s="175">
        <v>132.82</v>
      </c>
      <c r="F69" s="177">
        <v>80.540000000000006</v>
      </c>
      <c r="G69" s="178">
        <f t="shared" si="1"/>
        <v>40.270000000000003</v>
      </c>
    </row>
    <row r="70" spans="1:7" x14ac:dyDescent="0.25">
      <c r="A70" s="180" t="s">
        <v>72</v>
      </c>
      <c r="B70" s="180">
        <v>70.06</v>
      </c>
      <c r="C70" s="180">
        <v>43.06</v>
      </c>
      <c r="D70" s="175" t="s">
        <v>72</v>
      </c>
      <c r="E70" s="175">
        <v>65.510000000000005</v>
      </c>
      <c r="F70" s="177">
        <v>40.270000000000003</v>
      </c>
      <c r="G70" s="178">
        <f t="shared" si="1"/>
        <v>20.14</v>
      </c>
    </row>
    <row r="71" spans="1:7" x14ac:dyDescent="0.25">
      <c r="A71" s="180" t="s">
        <v>73</v>
      </c>
      <c r="B71" s="180">
        <v>135.61000000000001</v>
      </c>
      <c r="C71" s="180">
        <v>68.77</v>
      </c>
      <c r="D71" s="175" t="s">
        <v>73</v>
      </c>
      <c r="E71" s="175">
        <v>126.81</v>
      </c>
      <c r="F71" s="177">
        <v>64.31</v>
      </c>
      <c r="G71" s="178">
        <f t="shared" si="1"/>
        <v>32.159999999999997</v>
      </c>
    </row>
    <row r="72" spans="1:7" x14ac:dyDescent="0.25">
      <c r="A72" s="180" t="s">
        <v>74</v>
      </c>
      <c r="B72" s="180">
        <v>62.35</v>
      </c>
      <c r="C72" s="180">
        <v>39.85</v>
      </c>
      <c r="D72" s="175" t="s">
        <v>74</v>
      </c>
      <c r="E72" s="175">
        <v>58.3</v>
      </c>
      <c r="F72" s="177">
        <v>37.26</v>
      </c>
      <c r="G72" s="178">
        <f t="shared" si="1"/>
        <v>18.63</v>
      </c>
    </row>
    <row r="73" spans="1:7" x14ac:dyDescent="0.25">
      <c r="A73" s="180" t="s">
        <v>75</v>
      </c>
      <c r="B73" s="180">
        <v>69.41</v>
      </c>
      <c r="C73" s="180">
        <v>39.200000000000003</v>
      </c>
      <c r="D73" s="175" t="s">
        <v>75</v>
      </c>
      <c r="E73" s="175">
        <v>64.91</v>
      </c>
      <c r="F73" s="177">
        <v>36.659999999999997</v>
      </c>
      <c r="G73" s="178">
        <f t="shared" si="1"/>
        <v>18.329999999999998</v>
      </c>
    </row>
    <row r="74" spans="1:7" x14ac:dyDescent="0.25">
      <c r="A74" s="180" t="s">
        <v>76</v>
      </c>
      <c r="B74" s="180">
        <v>48.85</v>
      </c>
      <c r="C74" s="180">
        <v>35.35</v>
      </c>
      <c r="D74" s="175" t="s">
        <v>76</v>
      </c>
      <c r="E74" s="175">
        <v>45.68</v>
      </c>
      <c r="F74" s="177">
        <v>33.06</v>
      </c>
      <c r="G74" s="178">
        <f t="shared" si="1"/>
        <v>16.53</v>
      </c>
    </row>
    <row r="75" spans="1:7" x14ac:dyDescent="0.25">
      <c r="A75" s="180" t="s">
        <v>77</v>
      </c>
      <c r="B75" s="180">
        <v>85.48</v>
      </c>
      <c r="C75" s="180">
        <v>46.27</v>
      </c>
      <c r="D75" s="175" t="s">
        <v>77</v>
      </c>
      <c r="E75" s="175">
        <v>79.930000000000007</v>
      </c>
      <c r="F75" s="177">
        <v>43.27</v>
      </c>
      <c r="G75" s="178">
        <f t="shared" si="1"/>
        <v>21.64</v>
      </c>
    </row>
    <row r="76" spans="1:7" x14ac:dyDescent="0.25">
      <c r="A76" s="180" t="s">
        <v>78</v>
      </c>
      <c r="B76" s="180">
        <v>106.69</v>
      </c>
      <c r="C76" s="180">
        <v>45.63</v>
      </c>
      <c r="D76" s="175" t="s">
        <v>78</v>
      </c>
      <c r="E76" s="175">
        <v>99.77</v>
      </c>
      <c r="F76" s="177">
        <v>42.67</v>
      </c>
      <c r="G76" s="178">
        <f t="shared" si="1"/>
        <v>21.34</v>
      </c>
    </row>
    <row r="77" spans="1:7" x14ac:dyDescent="0.25">
      <c r="A77" s="180" t="s">
        <v>79</v>
      </c>
      <c r="B77" s="180">
        <v>104.12</v>
      </c>
      <c r="C77" s="180">
        <v>46.91</v>
      </c>
      <c r="D77" s="175" t="s">
        <v>79</v>
      </c>
      <c r="E77" s="175">
        <v>97.36</v>
      </c>
      <c r="F77" s="177">
        <v>43.87</v>
      </c>
      <c r="G77" s="178">
        <f t="shared" si="1"/>
        <v>21.94</v>
      </c>
    </row>
    <row r="78" spans="1:7" x14ac:dyDescent="0.25">
      <c r="A78" s="180" t="s">
        <v>80</v>
      </c>
      <c r="B78" s="180">
        <v>167.75</v>
      </c>
      <c r="C78" s="180">
        <v>88.7</v>
      </c>
      <c r="D78" s="175" t="s">
        <v>80</v>
      </c>
      <c r="E78" s="175">
        <v>156.86000000000001</v>
      </c>
      <c r="F78" s="177">
        <v>82.94</v>
      </c>
      <c r="G78" s="178">
        <f t="shared" si="1"/>
        <v>41.47</v>
      </c>
    </row>
    <row r="79" spans="1:7" x14ac:dyDescent="0.25">
      <c r="A79" s="180" t="s">
        <v>81</v>
      </c>
      <c r="B79" s="180">
        <v>108.62</v>
      </c>
      <c r="C79" s="180">
        <v>46.27</v>
      </c>
      <c r="D79" s="175" t="s">
        <v>81</v>
      </c>
      <c r="E79" s="175">
        <v>101.57</v>
      </c>
      <c r="F79" s="177">
        <v>43.27</v>
      </c>
      <c r="G79" s="178">
        <f t="shared" si="1"/>
        <v>21.64</v>
      </c>
    </row>
    <row r="80" spans="1:7" x14ac:dyDescent="0.25">
      <c r="A80" s="180" t="s">
        <v>82</v>
      </c>
      <c r="B80" s="180">
        <v>68.77</v>
      </c>
      <c r="C80" s="180">
        <v>39.200000000000003</v>
      </c>
      <c r="D80" s="175" t="s">
        <v>82</v>
      </c>
      <c r="E80" s="175">
        <v>64.31</v>
      </c>
      <c r="F80" s="177">
        <v>36.659999999999997</v>
      </c>
      <c r="G80" s="178">
        <f t="shared" si="1"/>
        <v>18.329999999999998</v>
      </c>
    </row>
    <row r="81" spans="1:7" x14ac:dyDescent="0.25">
      <c r="A81" s="180" t="s">
        <v>83</v>
      </c>
      <c r="B81" s="180">
        <v>135.61000000000001</v>
      </c>
      <c r="C81" s="180">
        <v>41.13</v>
      </c>
      <c r="D81" s="175" t="s">
        <v>83</v>
      </c>
      <c r="E81" s="175">
        <v>126.81</v>
      </c>
      <c r="F81" s="177">
        <v>38.46</v>
      </c>
      <c r="G81" s="178">
        <f t="shared" si="1"/>
        <v>19.23</v>
      </c>
    </row>
    <row r="82" spans="1:7" x14ac:dyDescent="0.25">
      <c r="A82" s="180" t="s">
        <v>84</v>
      </c>
      <c r="B82" s="180">
        <v>243.59</v>
      </c>
      <c r="C82" s="180">
        <v>78.41</v>
      </c>
      <c r="D82" s="175" t="s">
        <v>84</v>
      </c>
      <c r="E82" s="175">
        <v>227.78</v>
      </c>
      <c r="F82" s="177">
        <v>73.319999999999993</v>
      </c>
      <c r="G82" s="178">
        <f t="shared" si="1"/>
        <v>36.659999999999997</v>
      </c>
    </row>
    <row r="83" spans="1:7" x14ac:dyDescent="0.25">
      <c r="A83" s="180" t="s">
        <v>85</v>
      </c>
      <c r="B83" s="180">
        <v>72.62</v>
      </c>
      <c r="C83" s="180">
        <v>48.21</v>
      </c>
      <c r="D83" s="175" t="s">
        <v>85</v>
      </c>
      <c r="E83" s="175">
        <v>67.91</v>
      </c>
      <c r="F83" s="177">
        <v>45.08</v>
      </c>
      <c r="G83" s="178">
        <f t="shared" si="1"/>
        <v>22.54</v>
      </c>
    </row>
    <row r="84" spans="1:7" s="132" customFormat="1" x14ac:dyDescent="0.25">
      <c r="A84" s="180" t="s">
        <v>206</v>
      </c>
      <c r="B84" s="180">
        <v>116.33</v>
      </c>
      <c r="C84" s="180">
        <v>43.71</v>
      </c>
      <c r="D84" s="182" t="s">
        <v>206</v>
      </c>
      <c r="E84" s="175">
        <v>98.57</v>
      </c>
      <c r="F84" s="177">
        <v>49.88</v>
      </c>
      <c r="G84" s="178">
        <f t="shared" ref="G84:G100" si="2">F84/2</f>
        <v>24.94</v>
      </c>
    </row>
    <row r="85" spans="1:7" x14ac:dyDescent="0.25">
      <c r="A85" s="180" t="s">
        <v>86</v>
      </c>
      <c r="B85" s="180">
        <v>91.26</v>
      </c>
      <c r="C85" s="180">
        <v>51.42</v>
      </c>
      <c r="D85" s="175" t="s">
        <v>86</v>
      </c>
      <c r="E85" s="175">
        <v>85.34</v>
      </c>
      <c r="F85" s="177">
        <v>48.08</v>
      </c>
      <c r="G85" s="178">
        <f t="shared" si="2"/>
        <v>24.04</v>
      </c>
    </row>
    <row r="86" spans="1:7" x14ac:dyDescent="0.25">
      <c r="A86" s="180" t="s">
        <v>87</v>
      </c>
      <c r="B86" s="180">
        <v>89.34</v>
      </c>
      <c r="C86" s="180">
        <v>49.49</v>
      </c>
      <c r="D86" s="175" t="s">
        <v>87</v>
      </c>
      <c r="E86" s="175">
        <v>83.54</v>
      </c>
      <c r="F86" s="177">
        <v>46.28</v>
      </c>
      <c r="G86" s="178">
        <f t="shared" si="2"/>
        <v>23.14</v>
      </c>
    </row>
    <row r="87" spans="1:7" x14ac:dyDescent="0.25">
      <c r="A87" s="180" t="s">
        <v>88</v>
      </c>
      <c r="B87" s="180">
        <v>68.77</v>
      </c>
      <c r="C87" s="180">
        <v>51.42</v>
      </c>
      <c r="D87" s="175" t="s">
        <v>88</v>
      </c>
      <c r="E87" s="175">
        <v>64.31</v>
      </c>
      <c r="F87" s="177">
        <v>48.08</v>
      </c>
      <c r="G87" s="178">
        <f t="shared" si="2"/>
        <v>24.04</v>
      </c>
    </row>
    <row r="88" spans="1:7" x14ac:dyDescent="0.25">
      <c r="A88" s="180" t="s">
        <v>89</v>
      </c>
      <c r="B88" s="180">
        <v>157.47</v>
      </c>
      <c r="C88" s="180">
        <v>80.34</v>
      </c>
      <c r="D88" s="175" t="s">
        <v>89</v>
      </c>
      <c r="E88" s="175">
        <v>147.25</v>
      </c>
      <c r="F88" s="177">
        <v>75.13</v>
      </c>
      <c r="G88" s="178">
        <f t="shared" si="2"/>
        <v>37.57</v>
      </c>
    </row>
    <row r="89" spans="1:7" x14ac:dyDescent="0.25">
      <c r="A89" s="180" t="s">
        <v>90</v>
      </c>
      <c r="B89" s="180">
        <v>158.75</v>
      </c>
      <c r="C89" s="180">
        <v>65.55</v>
      </c>
      <c r="D89" s="175" t="s">
        <v>90</v>
      </c>
      <c r="E89" s="175">
        <v>148.44999999999999</v>
      </c>
      <c r="F89" s="177">
        <v>61.3</v>
      </c>
      <c r="G89" s="178">
        <f t="shared" si="2"/>
        <v>30.65</v>
      </c>
    </row>
    <row r="90" spans="1:7" x14ac:dyDescent="0.25">
      <c r="A90" s="180" t="s">
        <v>91</v>
      </c>
      <c r="B90" s="180">
        <v>73.92</v>
      </c>
      <c r="C90" s="180">
        <v>41.78</v>
      </c>
      <c r="D90" s="175" t="s">
        <v>91</v>
      </c>
      <c r="E90" s="175">
        <v>69.12</v>
      </c>
      <c r="F90" s="177">
        <v>39.07</v>
      </c>
      <c r="G90" s="178">
        <f t="shared" si="2"/>
        <v>19.54</v>
      </c>
    </row>
    <row r="91" spans="1:7" x14ac:dyDescent="0.25">
      <c r="A91" s="180" t="s">
        <v>92</v>
      </c>
      <c r="B91" s="180">
        <v>87.41</v>
      </c>
      <c r="C91" s="180">
        <v>52.06</v>
      </c>
      <c r="D91" s="175" t="s">
        <v>92</v>
      </c>
      <c r="E91" s="175">
        <v>81.739999999999995</v>
      </c>
      <c r="F91" s="177">
        <v>48.68</v>
      </c>
      <c r="G91" s="178">
        <f t="shared" si="2"/>
        <v>24.34</v>
      </c>
    </row>
    <row r="92" spans="1:7" x14ac:dyDescent="0.25">
      <c r="A92" s="180" t="s">
        <v>93</v>
      </c>
      <c r="B92" s="180">
        <v>82.27</v>
      </c>
      <c r="C92" s="180">
        <v>32.14</v>
      </c>
      <c r="D92" s="175" t="s">
        <v>93</v>
      </c>
      <c r="E92" s="175">
        <v>76.930000000000007</v>
      </c>
      <c r="F92" s="177">
        <v>30.05</v>
      </c>
      <c r="G92" s="178">
        <f t="shared" si="2"/>
        <v>15.03</v>
      </c>
    </row>
    <row r="93" spans="1:7" x14ac:dyDescent="0.25">
      <c r="A93" s="180" t="s">
        <v>94</v>
      </c>
      <c r="B93" s="180">
        <v>55.28</v>
      </c>
      <c r="C93" s="180">
        <v>49.49</v>
      </c>
      <c r="D93" s="175" t="s">
        <v>94</v>
      </c>
      <c r="E93" s="175">
        <v>51.69</v>
      </c>
      <c r="F93" s="177">
        <v>46.28</v>
      </c>
      <c r="G93" s="178">
        <f t="shared" si="2"/>
        <v>23.14</v>
      </c>
    </row>
    <row r="94" spans="1:7" x14ac:dyDescent="0.25">
      <c r="A94" s="180" t="s">
        <v>95</v>
      </c>
      <c r="B94" s="180">
        <v>65.55</v>
      </c>
      <c r="C94" s="180">
        <v>41.78</v>
      </c>
      <c r="D94" s="175" t="s">
        <v>95</v>
      </c>
      <c r="E94" s="177">
        <v>61.3</v>
      </c>
      <c r="F94" s="177">
        <v>39.07</v>
      </c>
      <c r="G94" s="178">
        <f t="shared" si="2"/>
        <v>19.54</v>
      </c>
    </row>
    <row r="95" spans="1:7" x14ac:dyDescent="0.25">
      <c r="A95" s="180" t="s">
        <v>96</v>
      </c>
      <c r="B95" s="180">
        <v>61.7</v>
      </c>
      <c r="C95" s="180">
        <v>44.35</v>
      </c>
      <c r="D95" s="175" t="s">
        <v>96</v>
      </c>
      <c r="E95" s="177">
        <v>57.7</v>
      </c>
      <c r="F95" s="177">
        <v>41.47</v>
      </c>
      <c r="G95" s="178">
        <f t="shared" si="2"/>
        <v>20.74</v>
      </c>
    </row>
    <row r="96" spans="1:7" x14ac:dyDescent="0.25">
      <c r="A96" s="180" t="s">
        <v>97</v>
      </c>
      <c r="B96" s="180">
        <v>83.55</v>
      </c>
      <c r="C96" s="180">
        <v>38.56</v>
      </c>
      <c r="D96" s="175" t="s">
        <v>97</v>
      </c>
      <c r="E96" s="175">
        <v>78.13</v>
      </c>
      <c r="F96" s="177">
        <v>36.06</v>
      </c>
      <c r="G96" s="178">
        <f t="shared" si="2"/>
        <v>18.03</v>
      </c>
    </row>
    <row r="97" spans="1:7" x14ac:dyDescent="0.25">
      <c r="A97" s="180" t="s">
        <v>98</v>
      </c>
      <c r="B97" s="180">
        <v>142.04</v>
      </c>
      <c r="C97" s="180">
        <v>46.27</v>
      </c>
      <c r="D97" s="175" t="s">
        <v>98</v>
      </c>
      <c r="E97" s="175">
        <v>132.82</v>
      </c>
      <c r="F97" s="177">
        <v>43.27</v>
      </c>
      <c r="G97" s="178">
        <f t="shared" si="2"/>
        <v>21.64</v>
      </c>
    </row>
    <row r="98" spans="1:7" x14ac:dyDescent="0.25">
      <c r="A98" s="180" t="s">
        <v>99</v>
      </c>
      <c r="B98" s="180">
        <v>108.62</v>
      </c>
      <c r="C98" s="180">
        <v>57.84</v>
      </c>
      <c r="D98" s="175" t="s">
        <v>99</v>
      </c>
      <c r="E98" s="175">
        <v>101.57</v>
      </c>
      <c r="F98" s="177">
        <v>54.09</v>
      </c>
      <c r="G98" s="178">
        <f t="shared" si="2"/>
        <v>27.05</v>
      </c>
    </row>
    <row r="99" spans="1:7" x14ac:dyDescent="0.25">
      <c r="A99" s="180" t="s">
        <v>100</v>
      </c>
      <c r="B99" s="180">
        <v>82.27</v>
      </c>
      <c r="C99" s="180">
        <v>41.78</v>
      </c>
      <c r="D99" s="175" t="s">
        <v>100</v>
      </c>
      <c r="E99" s="175">
        <v>76.930000000000007</v>
      </c>
      <c r="F99" s="177">
        <v>39.07</v>
      </c>
      <c r="G99" s="178">
        <f t="shared" si="2"/>
        <v>19.54</v>
      </c>
    </row>
    <row r="100" spans="1:7" x14ac:dyDescent="0.25">
      <c r="A100" s="180" t="s">
        <v>101</v>
      </c>
      <c r="B100" s="180">
        <v>116.33</v>
      </c>
      <c r="C100" s="180">
        <v>43.71</v>
      </c>
      <c r="D100" s="175" t="s">
        <v>101</v>
      </c>
      <c r="E100" s="175">
        <v>108.78</v>
      </c>
      <c r="F100" s="177">
        <v>40.869999999999997</v>
      </c>
      <c r="G100" s="178">
        <f t="shared" si="2"/>
        <v>20.440000000000001</v>
      </c>
    </row>
    <row r="102" spans="1:7" x14ac:dyDescent="0.25">
      <c r="A102" s="1351" t="s">
        <v>189</v>
      </c>
      <c r="B102" s="1351"/>
      <c r="C102" s="1351"/>
      <c r="D102" s="1352" t="s">
        <v>185</v>
      </c>
      <c r="E102" s="1352"/>
      <c r="F102" s="1352"/>
      <c r="G102" s="1352"/>
    </row>
  </sheetData>
  <sheetProtection sheet="1" objects="1" scenarios="1"/>
  <mergeCells count="2">
    <mergeCell ref="A102:C102"/>
    <mergeCell ref="D102:G102"/>
  </mergeCells>
  <phoneticPr fontId="0" type="noConversion"/>
  <pageMargins left="0.74803149606299213" right="0.74803149606299213" top="0.98425196850393704" bottom="0.98425196850393704" header="0" footer="0"/>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7030A0"/>
  </sheetPr>
  <dimension ref="A2:P9"/>
  <sheetViews>
    <sheetView workbookViewId="0">
      <selection activeCell="A5" sqref="A5:XFD5"/>
    </sheetView>
  </sheetViews>
  <sheetFormatPr baseColWidth="10" defaultRowHeight="13.2" x14ac:dyDescent="0.25"/>
  <cols>
    <col min="1" max="2" width="11.44140625" style="275"/>
    <col min="3" max="3" width="13" style="275" customWidth="1"/>
    <col min="4" max="6" width="11.44140625" style="275"/>
    <col min="7" max="7" width="24" style="275" customWidth="1"/>
    <col min="8" max="9" width="11.44140625" style="275"/>
    <col min="10" max="10" width="12.44140625" style="275" customWidth="1"/>
    <col min="11" max="11" width="26" style="275" customWidth="1"/>
    <col min="12" max="12" width="19" style="275" customWidth="1"/>
    <col min="13" max="13" width="15.5546875" style="275" customWidth="1"/>
    <col min="14" max="14" width="11.44140625" style="275"/>
    <col min="15" max="15" width="13.88671875" style="275" customWidth="1"/>
    <col min="16" max="270" width="11.44140625" style="275"/>
    <col min="271" max="271" width="13.88671875" style="275" customWidth="1"/>
    <col min="272" max="526" width="11.44140625" style="275"/>
    <col min="527" max="527" width="13.88671875" style="275" customWidth="1"/>
    <col min="528" max="782" width="11.44140625" style="275"/>
    <col min="783" max="783" width="13.88671875" style="275" customWidth="1"/>
    <col min="784" max="1038" width="11.44140625" style="275"/>
    <col min="1039" max="1039" width="13.88671875" style="275" customWidth="1"/>
    <col min="1040" max="1294" width="11.44140625" style="275"/>
    <col min="1295" max="1295" width="13.88671875" style="275" customWidth="1"/>
    <col min="1296" max="1550" width="11.44140625" style="275"/>
    <col min="1551" max="1551" width="13.88671875" style="275" customWidth="1"/>
    <col min="1552" max="1806" width="11.44140625" style="275"/>
    <col min="1807" max="1807" width="13.88671875" style="275" customWidth="1"/>
    <col min="1808" max="2062" width="11.44140625" style="275"/>
    <col min="2063" max="2063" width="13.88671875" style="275" customWidth="1"/>
    <col min="2064" max="2318" width="11.44140625" style="275"/>
    <col min="2319" max="2319" width="13.88671875" style="275" customWidth="1"/>
    <col min="2320" max="2574" width="11.44140625" style="275"/>
    <col min="2575" max="2575" width="13.88671875" style="275" customWidth="1"/>
    <col min="2576" max="2830" width="11.44140625" style="275"/>
    <col min="2831" max="2831" width="13.88671875" style="275" customWidth="1"/>
    <col min="2832" max="3086" width="11.44140625" style="275"/>
    <col min="3087" max="3087" width="13.88671875" style="275" customWidth="1"/>
    <col min="3088" max="3342" width="11.44140625" style="275"/>
    <col min="3343" max="3343" width="13.88671875" style="275" customWidth="1"/>
    <col min="3344" max="3598" width="11.44140625" style="275"/>
    <col min="3599" max="3599" width="13.88671875" style="275" customWidth="1"/>
    <col min="3600" max="3854" width="11.44140625" style="275"/>
    <col min="3855" max="3855" width="13.88671875" style="275" customWidth="1"/>
    <col min="3856" max="4110" width="11.44140625" style="275"/>
    <col min="4111" max="4111" width="13.88671875" style="275" customWidth="1"/>
    <col min="4112" max="4366" width="11.44140625" style="275"/>
    <col min="4367" max="4367" width="13.88671875" style="275" customWidth="1"/>
    <col min="4368" max="4622" width="11.44140625" style="275"/>
    <col min="4623" max="4623" width="13.88671875" style="275" customWidth="1"/>
    <col min="4624" max="4878" width="11.44140625" style="275"/>
    <col min="4879" max="4879" width="13.88671875" style="275" customWidth="1"/>
    <col min="4880" max="5134" width="11.44140625" style="275"/>
    <col min="5135" max="5135" width="13.88671875" style="275" customWidth="1"/>
    <col min="5136" max="5390" width="11.44140625" style="275"/>
    <col min="5391" max="5391" width="13.88671875" style="275" customWidth="1"/>
    <col min="5392" max="5646" width="11.44140625" style="275"/>
    <col min="5647" max="5647" width="13.88671875" style="275" customWidth="1"/>
    <col min="5648" max="5902" width="11.44140625" style="275"/>
    <col min="5903" max="5903" width="13.88671875" style="275" customWidth="1"/>
    <col min="5904" max="6158" width="11.44140625" style="275"/>
    <col min="6159" max="6159" width="13.88671875" style="275" customWidth="1"/>
    <col min="6160" max="6414" width="11.44140625" style="275"/>
    <col min="6415" max="6415" width="13.88671875" style="275" customWidth="1"/>
    <col min="6416" max="6670" width="11.44140625" style="275"/>
    <col min="6671" max="6671" width="13.88671875" style="275" customWidth="1"/>
    <col min="6672" max="6926" width="11.44140625" style="275"/>
    <col min="6927" max="6927" width="13.88671875" style="275" customWidth="1"/>
    <col min="6928" max="7182" width="11.44140625" style="275"/>
    <col min="7183" max="7183" width="13.88671875" style="275" customWidth="1"/>
    <col min="7184" max="7438" width="11.44140625" style="275"/>
    <col min="7439" max="7439" width="13.88671875" style="275" customWidth="1"/>
    <col min="7440" max="7694" width="11.44140625" style="275"/>
    <col min="7695" max="7695" width="13.88671875" style="275" customWidth="1"/>
    <col min="7696" max="7950" width="11.44140625" style="275"/>
    <col min="7951" max="7951" width="13.88671875" style="275" customWidth="1"/>
    <col min="7952" max="8206" width="11.44140625" style="275"/>
    <col min="8207" max="8207" width="13.88671875" style="275" customWidth="1"/>
    <col min="8208" max="8462" width="11.44140625" style="275"/>
    <col min="8463" max="8463" width="13.88671875" style="275" customWidth="1"/>
    <col min="8464" max="8718" width="11.44140625" style="275"/>
    <col min="8719" max="8719" width="13.88671875" style="275" customWidth="1"/>
    <col min="8720" max="8974" width="11.44140625" style="275"/>
    <col min="8975" max="8975" width="13.88671875" style="275" customWidth="1"/>
    <col min="8976" max="9230" width="11.44140625" style="275"/>
    <col min="9231" max="9231" width="13.88671875" style="275" customWidth="1"/>
    <col min="9232" max="9486" width="11.44140625" style="275"/>
    <col min="9487" max="9487" width="13.88671875" style="275" customWidth="1"/>
    <col min="9488" max="9742" width="11.44140625" style="275"/>
    <col min="9743" max="9743" width="13.88671875" style="275" customWidth="1"/>
    <col min="9744" max="9998" width="11.44140625" style="275"/>
    <col min="9999" max="9999" width="13.88671875" style="275" customWidth="1"/>
    <col min="10000" max="10254" width="11.44140625" style="275"/>
    <col min="10255" max="10255" width="13.88671875" style="275" customWidth="1"/>
    <col min="10256" max="10510" width="11.44140625" style="275"/>
    <col min="10511" max="10511" width="13.88671875" style="275" customWidth="1"/>
    <col min="10512" max="10766" width="11.44140625" style="275"/>
    <col min="10767" max="10767" width="13.88671875" style="275" customWidth="1"/>
    <col min="10768" max="11022" width="11.44140625" style="275"/>
    <col min="11023" max="11023" width="13.88671875" style="275" customWidth="1"/>
    <col min="11024" max="11278" width="11.44140625" style="275"/>
    <col min="11279" max="11279" width="13.88671875" style="275" customWidth="1"/>
    <col min="11280" max="11534" width="11.44140625" style="275"/>
    <col min="11535" max="11535" width="13.88671875" style="275" customWidth="1"/>
    <col min="11536" max="11790" width="11.44140625" style="275"/>
    <col min="11791" max="11791" width="13.88671875" style="275" customWidth="1"/>
    <col min="11792" max="12046" width="11.44140625" style="275"/>
    <col min="12047" max="12047" width="13.88671875" style="275" customWidth="1"/>
    <col min="12048" max="12302" width="11.44140625" style="275"/>
    <col min="12303" max="12303" width="13.88671875" style="275" customWidth="1"/>
    <col min="12304" max="12558" width="11.44140625" style="275"/>
    <col min="12559" max="12559" width="13.88671875" style="275" customWidth="1"/>
    <col min="12560" max="12814" width="11.44140625" style="275"/>
    <col min="12815" max="12815" width="13.88671875" style="275" customWidth="1"/>
    <col min="12816" max="13070" width="11.44140625" style="275"/>
    <col min="13071" max="13071" width="13.88671875" style="275" customWidth="1"/>
    <col min="13072" max="13326" width="11.44140625" style="275"/>
    <col min="13327" max="13327" width="13.88671875" style="275" customWidth="1"/>
    <col min="13328" max="13582" width="11.44140625" style="275"/>
    <col min="13583" max="13583" width="13.88671875" style="275" customWidth="1"/>
    <col min="13584" max="13838" width="11.44140625" style="275"/>
    <col min="13839" max="13839" width="13.88671875" style="275" customWidth="1"/>
    <col min="13840" max="14094" width="11.44140625" style="275"/>
    <col min="14095" max="14095" width="13.88671875" style="275" customWidth="1"/>
    <col min="14096" max="14350" width="11.44140625" style="275"/>
    <col min="14351" max="14351" width="13.88671875" style="275" customWidth="1"/>
    <col min="14352" max="14606" width="11.44140625" style="275"/>
    <col min="14607" max="14607" width="13.88671875" style="275" customWidth="1"/>
    <col min="14608" max="14862" width="11.44140625" style="275"/>
    <col min="14863" max="14863" width="13.88671875" style="275" customWidth="1"/>
    <col min="14864" max="15118" width="11.44140625" style="275"/>
    <col min="15119" max="15119" width="13.88671875" style="275" customWidth="1"/>
    <col min="15120" max="15374" width="11.44140625" style="275"/>
    <col min="15375" max="15375" width="13.88671875" style="275" customWidth="1"/>
    <col min="15376" max="15630" width="11.44140625" style="275"/>
    <col min="15631" max="15631" width="13.88671875" style="275" customWidth="1"/>
    <col min="15632" max="15886" width="11.44140625" style="275"/>
    <col min="15887" max="15887" width="13.88671875" style="275" customWidth="1"/>
    <col min="15888" max="16142" width="11.44140625" style="275"/>
    <col min="16143" max="16143" width="13.88671875" style="275" customWidth="1"/>
    <col min="16144" max="16384" width="11.44140625" style="275"/>
  </cols>
  <sheetData>
    <row r="2" spans="1:16" ht="18" x14ac:dyDescent="0.25">
      <c r="A2" s="657" t="s">
        <v>260</v>
      </c>
      <c r="B2" s="1151" t="s">
        <v>428</v>
      </c>
      <c r="C2" s="1152"/>
      <c r="D2" s="1153"/>
      <c r="E2" s="1353" t="str">
        <f>'VARIOS PAÍSES EXTRANJERO'!C2</f>
        <v/>
      </c>
      <c r="F2" s="1353"/>
      <c r="G2" s="1353"/>
      <c r="H2" s="1353"/>
      <c r="I2" s="294"/>
      <c r="J2" s="1158" t="s">
        <v>261</v>
      </c>
      <c r="K2" s="1158"/>
      <c r="L2" s="1158"/>
      <c r="M2" s="1158"/>
      <c r="N2" s="1158"/>
      <c r="O2" s="295"/>
      <c r="P2" s="296"/>
    </row>
    <row r="3" spans="1:16" ht="13.05" customHeight="1" x14ac:dyDescent="0.25">
      <c r="A3" s="1154" t="s">
        <v>262</v>
      </c>
      <c r="B3" s="1154" t="s">
        <v>263</v>
      </c>
      <c r="C3" s="1154" t="s">
        <v>264</v>
      </c>
      <c r="D3" s="1154" t="s">
        <v>265</v>
      </c>
      <c r="E3" s="1154" t="s">
        <v>266</v>
      </c>
      <c r="F3" s="1154" t="s">
        <v>267</v>
      </c>
      <c r="G3" s="1154" t="s">
        <v>268</v>
      </c>
      <c r="H3" s="1157" t="s">
        <v>269</v>
      </c>
      <c r="I3" s="1157" t="s">
        <v>270</v>
      </c>
      <c r="J3" s="1157" t="s">
        <v>271</v>
      </c>
      <c r="K3" s="1154" t="s">
        <v>272</v>
      </c>
      <c r="L3" s="1154" t="s">
        <v>273</v>
      </c>
      <c r="M3" s="1154" t="s">
        <v>274</v>
      </c>
      <c r="N3" s="1154" t="s">
        <v>275</v>
      </c>
      <c r="O3" s="1157" t="s">
        <v>276</v>
      </c>
      <c r="P3" s="296"/>
    </row>
    <row r="4" spans="1:16" ht="13.05" customHeight="1" x14ac:dyDescent="0.25">
      <c r="A4" s="1154"/>
      <c r="B4" s="1154"/>
      <c r="C4" s="1154"/>
      <c r="D4" s="1154"/>
      <c r="E4" s="1154"/>
      <c r="F4" s="1154"/>
      <c r="G4" s="1154"/>
      <c r="H4" s="1157"/>
      <c r="I4" s="1157"/>
      <c r="J4" s="1157"/>
      <c r="K4" s="1154"/>
      <c r="L4" s="1154"/>
      <c r="M4" s="1154"/>
      <c r="N4" s="1154"/>
      <c r="O4" s="1157"/>
      <c r="P4" s="296"/>
    </row>
    <row r="5" spans="1:16" s="392" customFormat="1" ht="285.75" customHeight="1" x14ac:dyDescent="0.25">
      <c r="A5" s="380"/>
      <c r="B5" s="381" t="str">
        <f>IF('VARIOS PAÍSES EXTRANJERO'!D9="","",'VARIOS PAÍSES EXTRANJERO'!D9)</f>
        <v/>
      </c>
      <c r="C5" s="381" t="str">
        <f>IF('VARIOS PAÍSES EXTRANJERO'!C10:E10="","",'VARIOS PAÍSES EXTRANJERO'!C10:E10)</f>
        <v/>
      </c>
      <c r="D5" s="382" t="str">
        <f>IF('VARIOS PAÍSES EXTRANJERO'!C12="","",'VARIOS PAÍSES EXTRANJERO'!C12)</f>
        <v/>
      </c>
      <c r="E5" s="382" t="str">
        <f>IF('VARIOS PAÍSES EXTRANJERO'!H12="","",'VARIOS PAÍSES EXTRANJERO'!H12)</f>
        <v/>
      </c>
      <c r="F5" s="383" t="str">
        <f>IF('VARIOS PAÍSES EXTRANJERO'!C11="","",'VARIOS PAÍSES EXTRANJERO'!C11)</f>
        <v/>
      </c>
      <c r="G5" s="384" t="str">
        <f>'VARIOS PAÍSES EXTRANJERO'!X3</f>
        <v xml:space="preserve">T. Nacional: del  al     -T. Extranjero  del    al      del    al      del    al  </v>
      </c>
      <c r="H5" s="385" t="str">
        <f>'VARIOS PAÍSES EXTRANJERO'!W100</f>
        <v xml:space="preserve">        </v>
      </c>
      <c r="I5" s="386" t="str">
        <f>'VARIOS PAÍSES EXTRANJERO'!Z2</f>
        <v xml:space="preserve"> al  </v>
      </c>
      <c r="J5" s="387" t="str">
        <f>'VARIOS PAÍSES EXTRANJERO'!W101</f>
        <v/>
      </c>
      <c r="K5" s="386" t="str">
        <f>'VARIOS PAÍSES EXTRANJERO'!X86</f>
        <v xml:space="preserve">   </v>
      </c>
      <c r="L5" s="388" t="str">
        <f>'VARIOS PAÍSES EXTRANJERO'!X87</f>
        <v xml:space="preserve">   </v>
      </c>
      <c r="M5" s="389" t="str">
        <f>'VARIOS PAÍSES EXTRANJERO'!W110</f>
        <v>0€ Desglosado en: TOTAL LOCOMOCION 0€ TOTAL ALOJAMIENTO 0€ TOTAL MANUTENCIÓN 0€</v>
      </c>
      <c r="N5" s="390">
        <f>'VARIOS PAÍSES EXTRANJERO'!X103</f>
        <v>0</v>
      </c>
      <c r="O5" s="391" t="str">
        <f>'VARIOS PAÍSES EXTRANJERO'!C83 &amp;" "&amp;'VARIOS PAÍSES EXTRANJERO'!H83</f>
        <v xml:space="preserve"> 0</v>
      </c>
    </row>
    <row r="6" spans="1:16" ht="14.4" x14ac:dyDescent="0.25">
      <c r="A6" s="310"/>
      <c r="B6" s="311"/>
      <c r="C6" s="311"/>
      <c r="D6" s="311"/>
      <c r="E6" s="311"/>
      <c r="F6" s="311"/>
      <c r="G6" s="311"/>
      <c r="H6" s="311"/>
      <c r="I6" s="311"/>
      <c r="J6" s="312"/>
      <c r="K6" s="312"/>
      <c r="L6" s="312"/>
      <c r="M6" s="313">
        <v>0</v>
      </c>
      <c r="N6" s="311"/>
      <c r="O6" s="311"/>
      <c r="P6" s="296"/>
    </row>
    <row r="7" spans="1:16" ht="14.4" x14ac:dyDescent="0.25">
      <c r="A7" s="310"/>
      <c r="B7" s="310"/>
      <c r="C7" s="310"/>
      <c r="D7" s="310"/>
      <c r="E7" s="310"/>
      <c r="F7" s="310"/>
      <c r="G7" s="310"/>
      <c r="H7" s="310"/>
      <c r="I7" s="310"/>
      <c r="J7" s="314"/>
      <c r="K7" s="314"/>
      <c r="L7" s="314"/>
      <c r="M7" s="313">
        <v>0</v>
      </c>
      <c r="N7" s="310"/>
      <c r="O7" s="310"/>
      <c r="P7" s="296"/>
    </row>
    <row r="8" spans="1:16" ht="14.4" x14ac:dyDescent="0.25">
      <c r="A8" s="310"/>
      <c r="B8" s="310"/>
      <c r="C8" s="310"/>
      <c r="D8" s="310"/>
      <c r="E8" s="310"/>
      <c r="F8" s="310"/>
      <c r="G8" s="310"/>
      <c r="H8" s="310"/>
      <c r="I8" s="310"/>
      <c r="J8" s="314"/>
      <c r="K8" s="314"/>
      <c r="L8" s="314"/>
      <c r="M8" s="313">
        <v>0</v>
      </c>
      <c r="N8" s="310"/>
      <c r="O8" s="310"/>
      <c r="P8" s="296"/>
    </row>
    <row r="9" spans="1:16" ht="14.4" x14ac:dyDescent="0.25">
      <c r="A9" s="310"/>
      <c r="B9" s="310"/>
      <c r="C9" s="310"/>
      <c r="D9" s="310"/>
      <c r="E9" s="310"/>
      <c r="F9" s="310"/>
      <c r="G9" s="310"/>
      <c r="H9" s="310"/>
      <c r="I9" s="310"/>
      <c r="J9" s="314"/>
      <c r="K9" s="314"/>
      <c r="L9" s="314"/>
      <c r="M9" s="313">
        <v>0</v>
      </c>
      <c r="N9" s="310"/>
      <c r="O9" s="310"/>
      <c r="P9" s="296"/>
    </row>
  </sheetData>
  <mergeCells count="18">
    <mergeCell ref="F3:F4"/>
    <mergeCell ref="G3:G4"/>
    <mergeCell ref="H3:H4"/>
    <mergeCell ref="I3:I4"/>
    <mergeCell ref="B2:D2"/>
    <mergeCell ref="E2:H2"/>
    <mergeCell ref="A3:A4"/>
    <mergeCell ref="B3:B4"/>
    <mergeCell ref="C3:C4"/>
    <mergeCell ref="D3:D4"/>
    <mergeCell ref="E3:E4"/>
    <mergeCell ref="L3:L4"/>
    <mergeCell ref="M3:M4"/>
    <mergeCell ref="N3:N4"/>
    <mergeCell ref="O3:O4"/>
    <mergeCell ref="J2:N2"/>
    <mergeCell ref="J3:J4"/>
    <mergeCell ref="K3:K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6" tint="-0.249977111117893"/>
  </sheetPr>
  <dimension ref="A1:Q90"/>
  <sheetViews>
    <sheetView showGridLines="0" topLeftCell="B52" zoomScaleNormal="100" workbookViewId="0">
      <selection activeCell="B74" sqref="B74:C74"/>
    </sheetView>
  </sheetViews>
  <sheetFormatPr baseColWidth="10" defaultColWidth="11.5546875" defaultRowHeight="13.2" x14ac:dyDescent="0.25"/>
  <cols>
    <col min="1" max="4" width="11.5546875" style="132"/>
    <col min="5" max="5" width="13.6640625" style="132" customWidth="1"/>
    <col min="6" max="10" width="11.5546875" style="132"/>
    <col min="11" max="11" width="12.33203125" style="132" customWidth="1"/>
    <col min="12" max="12" width="18.44140625" style="132" customWidth="1"/>
    <col min="13" max="16384" width="11.5546875" style="132"/>
  </cols>
  <sheetData>
    <row r="1" spans="1:17" ht="13.05" customHeight="1" x14ac:dyDescent="0.25">
      <c r="A1" s="1355" t="s">
        <v>219</v>
      </c>
      <c r="B1" s="1355"/>
      <c r="C1" s="1355"/>
      <c r="D1" s="1355"/>
      <c r="E1" s="1355"/>
      <c r="F1" s="1355"/>
      <c r="G1" s="1355"/>
      <c r="H1" s="1355"/>
      <c r="I1" s="1355"/>
      <c r="J1" s="1355"/>
      <c r="K1" s="1355"/>
      <c r="M1" s="1357" t="s">
        <v>244</v>
      </c>
      <c r="N1" s="1357"/>
      <c r="O1" s="1357"/>
      <c r="P1" s="1357"/>
      <c r="Q1" s="1357"/>
    </row>
    <row r="3" spans="1:17" ht="13.8" x14ac:dyDescent="0.25">
      <c r="A3" s="198"/>
      <c r="B3" s="3" t="s">
        <v>220</v>
      </c>
    </row>
    <row r="5" spans="1:17" x14ac:dyDescent="0.25">
      <c r="B5" s="114" t="s">
        <v>429</v>
      </c>
      <c r="K5" s="673" t="s">
        <v>421</v>
      </c>
    </row>
    <row r="6" spans="1:17" x14ac:dyDescent="0.25">
      <c r="B6" s="114" t="s">
        <v>221</v>
      </c>
    </row>
    <row r="7" spans="1:17" ht="13.05" customHeight="1" x14ac:dyDescent="0.25">
      <c r="A7" s="199"/>
      <c r="B7" s="674" t="s">
        <v>222</v>
      </c>
      <c r="C7" s="199"/>
      <c r="D7" s="199"/>
      <c r="E7" s="199"/>
      <c r="F7" s="199"/>
      <c r="G7" s="199"/>
      <c r="H7" s="199"/>
      <c r="I7" s="199"/>
      <c r="J7" s="199"/>
      <c r="K7" s="199"/>
    </row>
    <row r="8" spans="1:17" ht="13.05" customHeight="1" x14ac:dyDescent="0.25">
      <c r="A8" s="199"/>
      <c r="B8" s="674" t="s">
        <v>223</v>
      </c>
      <c r="C8" s="199"/>
      <c r="D8" s="199"/>
      <c r="E8" s="199"/>
      <c r="F8" s="199"/>
      <c r="G8" s="199"/>
      <c r="H8" s="199"/>
      <c r="I8" s="199"/>
      <c r="J8" s="199"/>
      <c r="K8" s="199"/>
    </row>
    <row r="9" spans="1:17" ht="13.05" customHeight="1" x14ac:dyDescent="0.25">
      <c r="A9" s="199"/>
      <c r="B9" s="199"/>
      <c r="C9" s="199"/>
      <c r="D9" s="199"/>
      <c r="E9" s="199"/>
      <c r="F9" s="199"/>
      <c r="G9" s="199"/>
      <c r="H9" s="199"/>
      <c r="I9" s="199"/>
      <c r="J9" s="199"/>
      <c r="K9" s="199"/>
    </row>
    <row r="10" spans="1:17" x14ac:dyDescent="0.25">
      <c r="A10" s="200"/>
      <c r="B10" s="3" t="s">
        <v>224</v>
      </c>
    </row>
    <row r="12" spans="1:17" x14ac:dyDescent="0.25">
      <c r="B12" s="114" t="s">
        <v>452</v>
      </c>
    </row>
    <row r="13" spans="1:17" x14ac:dyDescent="0.25">
      <c r="B13" s="114" t="s">
        <v>225</v>
      </c>
    </row>
    <row r="14" spans="1:17" x14ac:dyDescent="0.25">
      <c r="B14" s="114"/>
    </row>
    <row r="15" spans="1:17" x14ac:dyDescent="0.25">
      <c r="B15" s="3" t="s">
        <v>520</v>
      </c>
    </row>
    <row r="16" spans="1:17" x14ac:dyDescent="0.25">
      <c r="B16" s="3" t="s">
        <v>521</v>
      </c>
    </row>
    <row r="17" spans="2:17" x14ac:dyDescent="0.25">
      <c r="B17" s="114" t="s">
        <v>430</v>
      </c>
    </row>
    <row r="18" spans="2:17" x14ac:dyDescent="0.25">
      <c r="B18" s="114" t="s">
        <v>441</v>
      </c>
    </row>
    <row r="19" spans="2:17" x14ac:dyDescent="0.25">
      <c r="B19" s="114" t="s">
        <v>226</v>
      </c>
    </row>
    <row r="20" spans="2:17" x14ac:dyDescent="0.25">
      <c r="B20" s="114" t="s">
        <v>451</v>
      </c>
    </row>
    <row r="22" spans="2:17" x14ac:dyDescent="0.25">
      <c r="B22" s="3" t="s">
        <v>227</v>
      </c>
      <c r="F22" s="698"/>
      <c r="G22" s="1358" t="s">
        <v>423</v>
      </c>
      <c r="H22" s="1358"/>
      <c r="I22" s="1358"/>
    </row>
    <row r="24" spans="2:17" x14ac:dyDescent="0.25">
      <c r="B24" s="114" t="s">
        <v>431</v>
      </c>
    </row>
    <row r="25" spans="2:17" x14ac:dyDescent="0.25">
      <c r="B25" s="114" t="s">
        <v>228</v>
      </c>
      <c r="M25" s="1357" t="s">
        <v>504</v>
      </c>
      <c r="N25" s="1357"/>
      <c r="O25" s="1357"/>
      <c r="P25" s="1357"/>
      <c r="Q25" s="1357"/>
    </row>
    <row r="27" spans="2:17" x14ac:dyDescent="0.25">
      <c r="B27" s="114" t="s">
        <v>448</v>
      </c>
    </row>
    <row r="28" spans="2:17" x14ac:dyDescent="0.25">
      <c r="B28" s="114" t="s">
        <v>449</v>
      </c>
    </row>
    <row r="29" spans="2:17" x14ac:dyDescent="0.25">
      <c r="B29" s="114" t="s">
        <v>450</v>
      </c>
    </row>
    <row r="30" spans="2:17" x14ac:dyDescent="0.25">
      <c r="B30" s="114" t="s">
        <v>445</v>
      </c>
    </row>
    <row r="31" spans="2:17" x14ac:dyDescent="0.25">
      <c r="B31" s="114" t="s">
        <v>444</v>
      </c>
    </row>
    <row r="32" spans="2:17" x14ac:dyDescent="0.25">
      <c r="B32" s="114" t="s">
        <v>446</v>
      </c>
    </row>
    <row r="33" spans="2:2" x14ac:dyDescent="0.25">
      <c r="B33" s="114" t="s">
        <v>432</v>
      </c>
    </row>
    <row r="34" spans="2:2" x14ac:dyDescent="0.25">
      <c r="B34" s="114" t="s">
        <v>394</v>
      </c>
    </row>
    <row r="35" spans="2:2" x14ac:dyDescent="0.25">
      <c r="B35" s="114" t="s">
        <v>433</v>
      </c>
    </row>
    <row r="36" spans="2:2" x14ac:dyDescent="0.25">
      <c r="B36" s="200" t="s">
        <v>395</v>
      </c>
    </row>
    <row r="37" spans="2:2" x14ac:dyDescent="0.25">
      <c r="B37" s="114"/>
    </row>
    <row r="38" spans="2:2" x14ac:dyDescent="0.25">
      <c r="B38" s="3" t="s">
        <v>229</v>
      </c>
    </row>
    <row r="40" spans="2:2" x14ac:dyDescent="0.25">
      <c r="B40" s="114" t="s">
        <v>636</v>
      </c>
    </row>
    <row r="41" spans="2:2" x14ac:dyDescent="0.25">
      <c r="B41" s="114" t="s">
        <v>635</v>
      </c>
    </row>
    <row r="42" spans="2:2" x14ac:dyDescent="0.25">
      <c r="B42" s="114" t="s">
        <v>434</v>
      </c>
    </row>
    <row r="43" spans="2:2" x14ac:dyDescent="0.25">
      <c r="B43" s="114" t="s">
        <v>637</v>
      </c>
    </row>
    <row r="44" spans="2:2" x14ac:dyDescent="0.25">
      <c r="B44" s="114" t="s">
        <v>447</v>
      </c>
    </row>
    <row r="45" spans="2:2" x14ac:dyDescent="0.25">
      <c r="B45" s="114" t="s">
        <v>230</v>
      </c>
    </row>
    <row r="46" spans="2:2" x14ac:dyDescent="0.25">
      <c r="B46" s="114" t="s">
        <v>231</v>
      </c>
    </row>
    <row r="47" spans="2:2" x14ac:dyDescent="0.25">
      <c r="B47" s="114" t="s">
        <v>232</v>
      </c>
    </row>
    <row r="48" spans="2:2" x14ac:dyDescent="0.25">
      <c r="B48" s="114" t="s">
        <v>435</v>
      </c>
    </row>
    <row r="49" spans="2:12" x14ac:dyDescent="0.25">
      <c r="B49" s="114" t="s">
        <v>416</v>
      </c>
    </row>
    <row r="50" spans="2:12" x14ac:dyDescent="0.25">
      <c r="B50" s="114" t="s">
        <v>233</v>
      </c>
    </row>
    <row r="52" spans="2:12" x14ac:dyDescent="0.25">
      <c r="B52" s="3" t="s">
        <v>234</v>
      </c>
    </row>
    <row r="54" spans="2:12" x14ac:dyDescent="0.25">
      <c r="B54" s="114" t="s">
        <v>235</v>
      </c>
    </row>
    <row r="55" spans="2:12" x14ac:dyDescent="0.25">
      <c r="B55" s="114" t="s">
        <v>436</v>
      </c>
    </row>
    <row r="57" spans="2:12" x14ac:dyDescent="0.25">
      <c r="B57" s="114" t="s">
        <v>236</v>
      </c>
    </row>
    <row r="59" spans="2:12" x14ac:dyDescent="0.25">
      <c r="B59" s="3" t="s">
        <v>237</v>
      </c>
    </row>
    <row r="60" spans="2:12" x14ac:dyDescent="0.25">
      <c r="B60" s="240" t="s">
        <v>238</v>
      </c>
      <c r="C60" s="240"/>
      <c r="D60" s="240"/>
      <c r="E60" s="240"/>
      <c r="F60" s="240"/>
      <c r="G60" s="240"/>
      <c r="H60" s="240"/>
      <c r="I60" s="240"/>
      <c r="J60" s="240"/>
      <c r="K60" s="240"/>
      <c r="L60" s="240"/>
    </row>
    <row r="61" spans="2:12" x14ac:dyDescent="0.25">
      <c r="B61" s="240" t="s">
        <v>438</v>
      </c>
      <c r="C61" s="240"/>
      <c r="D61" s="240"/>
      <c r="E61" s="240"/>
      <c r="F61" s="240"/>
      <c r="G61" s="240"/>
      <c r="H61" s="240"/>
      <c r="I61" s="240"/>
      <c r="J61" s="240"/>
      <c r="K61" s="240"/>
      <c r="L61" s="240"/>
    </row>
    <row r="62" spans="2:12" x14ac:dyDescent="0.25">
      <c r="B62" s="1356" t="s">
        <v>239</v>
      </c>
      <c r="C62" s="1356"/>
      <c r="D62" s="1356"/>
      <c r="E62" s="1356"/>
      <c r="F62" s="1356"/>
      <c r="G62" s="1356"/>
      <c r="H62" s="1356"/>
      <c r="I62" s="1356"/>
      <c r="J62" s="1356"/>
      <c r="K62" s="1356"/>
      <c r="L62" s="1356"/>
    </row>
    <row r="63" spans="2:12" x14ac:dyDescent="0.25">
      <c r="B63" s="398" t="s">
        <v>240</v>
      </c>
      <c r="C63" s="240"/>
      <c r="D63" s="240"/>
      <c r="E63" s="240"/>
      <c r="F63" s="240"/>
      <c r="G63" s="240"/>
      <c r="H63" s="240"/>
      <c r="I63" s="240"/>
      <c r="J63" s="240"/>
      <c r="K63" s="240"/>
      <c r="L63" s="240"/>
    </row>
    <row r="64" spans="2:12" x14ac:dyDescent="0.25">
      <c r="B64" s="398" t="s">
        <v>454</v>
      </c>
      <c r="C64" s="249"/>
      <c r="D64" s="249"/>
      <c r="E64" s="249"/>
      <c r="F64" s="249"/>
      <c r="G64" s="249"/>
      <c r="H64" s="249"/>
      <c r="I64" s="249"/>
      <c r="J64" s="249"/>
      <c r="K64" s="249"/>
      <c r="L64" s="249"/>
    </row>
    <row r="65" spans="2:12" x14ac:dyDescent="0.25">
      <c r="B65" s="240" t="s">
        <v>396</v>
      </c>
      <c r="C65" s="249"/>
      <c r="D65" s="249"/>
      <c r="E65" s="249"/>
      <c r="F65" s="249"/>
      <c r="G65" s="249"/>
      <c r="H65" s="249"/>
      <c r="I65" s="249"/>
      <c r="J65" s="249"/>
      <c r="K65" s="249"/>
      <c r="L65" s="249"/>
    </row>
    <row r="66" spans="2:12" x14ac:dyDescent="0.25">
      <c r="B66" s="240" t="s">
        <v>324</v>
      </c>
      <c r="C66" s="249"/>
      <c r="D66" s="249"/>
      <c r="E66" s="249"/>
      <c r="F66" s="249"/>
      <c r="G66" s="249"/>
      <c r="H66" s="249"/>
      <c r="I66" s="249"/>
      <c r="J66" s="249"/>
      <c r="K66" s="249"/>
      <c r="L66" s="249"/>
    </row>
    <row r="67" spans="2:12" x14ac:dyDescent="0.25">
      <c r="B67" s="240" t="s">
        <v>330</v>
      </c>
      <c r="C67" s="249"/>
      <c r="D67" s="249"/>
      <c r="E67" s="249"/>
      <c r="F67" s="249"/>
      <c r="G67" s="249"/>
      <c r="H67" s="249"/>
      <c r="I67" s="249"/>
      <c r="J67" s="249"/>
      <c r="K67" s="249"/>
      <c r="L67" s="249"/>
    </row>
    <row r="68" spans="2:12" x14ac:dyDescent="0.25">
      <c r="B68" s="240" t="s">
        <v>437</v>
      </c>
      <c r="C68" s="249"/>
      <c r="D68" s="249"/>
      <c r="E68" s="249"/>
      <c r="F68" s="249"/>
      <c r="G68" s="249"/>
      <c r="H68" s="249"/>
      <c r="I68" s="249"/>
      <c r="J68" s="249"/>
      <c r="K68" s="249"/>
      <c r="L68" s="249"/>
    </row>
    <row r="69" spans="2:12" x14ac:dyDescent="0.25">
      <c r="B69" s="240" t="s">
        <v>397</v>
      </c>
      <c r="C69" s="240"/>
      <c r="D69" s="240"/>
      <c r="E69" s="240"/>
      <c r="F69" s="240"/>
      <c r="G69" s="240"/>
      <c r="H69" s="240"/>
      <c r="I69" s="240"/>
      <c r="J69" s="240"/>
      <c r="K69" s="240"/>
      <c r="L69" s="240"/>
    </row>
    <row r="70" spans="2:12" x14ac:dyDescent="0.25">
      <c r="B70" s="642" t="s">
        <v>453</v>
      </c>
    </row>
    <row r="71" spans="2:12" x14ac:dyDescent="0.25">
      <c r="B71" s="240" t="s">
        <v>522</v>
      </c>
    </row>
    <row r="74" spans="2:12" x14ac:dyDescent="0.25">
      <c r="B74" s="1354" t="s">
        <v>422</v>
      </c>
      <c r="C74" s="1354"/>
    </row>
    <row r="76" spans="2:12" x14ac:dyDescent="0.25">
      <c r="B76" s="114" t="s">
        <v>172</v>
      </c>
    </row>
    <row r="77" spans="2:12" x14ac:dyDescent="0.25">
      <c r="B77" s="114" t="s">
        <v>173</v>
      </c>
    </row>
    <row r="78" spans="2:12" x14ac:dyDescent="0.25">
      <c r="B78" s="114" t="s">
        <v>174</v>
      </c>
    </row>
    <row r="79" spans="2:12" x14ac:dyDescent="0.25">
      <c r="B79" s="114" t="s">
        <v>417</v>
      </c>
    </row>
    <row r="80" spans="2:12" x14ac:dyDescent="0.25">
      <c r="B80" s="114" t="s">
        <v>175</v>
      </c>
    </row>
    <row r="81" spans="2:2" x14ac:dyDescent="0.25">
      <c r="B81" s="114" t="s">
        <v>176</v>
      </c>
    </row>
    <row r="82" spans="2:2" x14ac:dyDescent="0.25">
      <c r="B82" s="114" t="s">
        <v>177</v>
      </c>
    </row>
    <row r="83" spans="2:2" x14ac:dyDescent="0.25">
      <c r="B83" s="114" t="s">
        <v>178</v>
      </c>
    </row>
    <row r="85" spans="2:2" x14ac:dyDescent="0.25">
      <c r="B85" s="3" t="s">
        <v>167</v>
      </c>
    </row>
    <row r="87" spans="2:2" x14ac:dyDescent="0.25">
      <c r="B87" s="114" t="s">
        <v>168</v>
      </c>
    </row>
    <row r="88" spans="2:2" x14ac:dyDescent="0.25">
      <c r="B88" s="114" t="s">
        <v>169</v>
      </c>
    </row>
    <row r="89" spans="2:2" x14ac:dyDescent="0.25">
      <c r="B89" s="114" t="s">
        <v>179</v>
      </c>
    </row>
    <row r="90" spans="2:2" x14ac:dyDescent="0.25">
      <c r="B90" s="114" t="s">
        <v>443</v>
      </c>
    </row>
  </sheetData>
  <sheetProtection password="A7D8" sheet="1" objects="1" scenarios="1" selectLockedCells="1"/>
  <mergeCells count="6">
    <mergeCell ref="B74:C74"/>
    <mergeCell ref="A1:K1"/>
    <mergeCell ref="B62:L62"/>
    <mergeCell ref="M1:Q1"/>
    <mergeCell ref="M25:Q25"/>
    <mergeCell ref="G22:I22"/>
  </mergeCells>
  <hyperlinks>
    <hyperlink ref="K5" location="'AYUDA DE DIETAS'!B74" display="CONSULTAR " xr:uid="{00000000-0004-0000-0700-000000000000}"/>
    <hyperlink ref="G22:I22" location="'AYUDA DE DIETAS'!B74" display=" Ver días con derecho a dietas" xr:uid="{00000000-0004-0000-0700-000001000000}"/>
  </hyperlinks>
  <printOptions horizontalCentered="1" verticalCentered="1"/>
  <pageMargins left="0" right="0" top="0" bottom="0" header="0" footer="0"/>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A50021"/>
  </sheetPr>
  <dimension ref="A3:H40"/>
  <sheetViews>
    <sheetView showGridLines="0" zoomScaleNormal="100" workbookViewId="0">
      <selection activeCell="B6" sqref="B6:H6"/>
    </sheetView>
  </sheetViews>
  <sheetFormatPr baseColWidth="10" defaultRowHeight="13.2" x14ac:dyDescent="0.25"/>
  <sheetData>
    <row r="3" spans="1:8" ht="17.399999999999999" x14ac:dyDescent="0.3">
      <c r="A3" s="1361" t="s">
        <v>325</v>
      </c>
      <c r="B3" s="1361"/>
      <c r="C3" s="1361"/>
      <c r="D3" s="1361"/>
      <c r="E3" s="1361"/>
      <c r="F3" s="1361"/>
      <c r="G3" s="1361"/>
      <c r="H3" s="1361"/>
    </row>
    <row r="6" spans="1:8" x14ac:dyDescent="0.25">
      <c r="A6" s="236" t="s">
        <v>327</v>
      </c>
      <c r="B6" s="1362"/>
      <c r="C6" s="1363"/>
      <c r="D6" s="1363"/>
      <c r="E6" s="1363"/>
      <c r="F6" s="1363"/>
      <c r="G6" s="1363"/>
      <c r="H6" s="1363"/>
    </row>
    <row r="8" spans="1:8" x14ac:dyDescent="0.25">
      <c r="A8" s="236" t="s">
        <v>326</v>
      </c>
      <c r="B8" s="1362"/>
      <c r="C8" s="1363"/>
      <c r="D8" s="1363"/>
      <c r="E8" s="1363"/>
      <c r="F8" s="1363"/>
      <c r="G8" s="1363"/>
      <c r="H8" s="1363"/>
    </row>
    <row r="10" spans="1:8" ht="15.6" x14ac:dyDescent="0.3">
      <c r="A10" s="236" t="s">
        <v>331</v>
      </c>
      <c r="B10" s="1364"/>
      <c r="C10" s="1364"/>
      <c r="D10" s="1364"/>
      <c r="E10" s="1364"/>
      <c r="F10" s="1364"/>
      <c r="G10" s="1364"/>
      <c r="H10" s="1364"/>
    </row>
    <row r="12" spans="1:8" x14ac:dyDescent="0.25">
      <c r="A12" s="1362"/>
      <c r="B12" s="1363"/>
      <c r="C12" s="1363"/>
      <c r="D12" s="1363"/>
      <c r="E12" s="1363"/>
      <c r="F12" s="1363"/>
      <c r="G12" s="1363"/>
      <c r="H12" s="1363"/>
    </row>
    <row r="13" spans="1:8" x14ac:dyDescent="0.25">
      <c r="A13" s="1359"/>
      <c r="B13" s="1360"/>
      <c r="C13" s="1360"/>
      <c r="D13" s="1360"/>
      <c r="E13" s="1360"/>
      <c r="F13" s="1360"/>
      <c r="G13" s="1360"/>
      <c r="H13" s="1360"/>
    </row>
    <row r="14" spans="1:8" x14ac:dyDescent="0.25">
      <c r="A14" s="1360"/>
      <c r="B14" s="1360"/>
      <c r="C14" s="1360"/>
      <c r="D14" s="1360"/>
      <c r="E14" s="1360"/>
      <c r="F14" s="1360"/>
      <c r="G14" s="1360"/>
      <c r="H14" s="1360"/>
    </row>
    <row r="15" spans="1:8" x14ac:dyDescent="0.25">
      <c r="A15" s="1363"/>
      <c r="B15" s="1363"/>
      <c r="C15" s="1363"/>
      <c r="D15" s="1363"/>
      <c r="E15" s="1363"/>
      <c r="F15" s="1363"/>
      <c r="G15" s="1363"/>
      <c r="H15" s="1363"/>
    </row>
    <row r="16" spans="1:8" x14ac:dyDescent="0.25">
      <c r="A16" s="1363"/>
      <c r="B16" s="1363"/>
      <c r="C16" s="1363"/>
      <c r="D16" s="1363"/>
      <c r="E16" s="1363"/>
      <c r="F16" s="1363"/>
      <c r="G16" s="1363"/>
      <c r="H16" s="1363"/>
    </row>
    <row r="17" spans="1:8" s="132" customFormat="1" x14ac:dyDescent="0.25">
      <c r="A17" s="239"/>
      <c r="B17" s="239"/>
      <c r="C17" s="239"/>
      <c r="D17" s="239"/>
      <c r="E17" s="239"/>
      <c r="F17" s="239"/>
      <c r="G17" s="239"/>
      <c r="H17" s="239"/>
    </row>
    <row r="18" spans="1:8" s="132" customFormat="1" x14ac:dyDescent="0.25">
      <c r="A18" s="239"/>
      <c r="B18" s="239"/>
      <c r="C18" s="239"/>
      <c r="D18" s="239"/>
      <c r="E18" s="239"/>
      <c r="F18" s="239"/>
      <c r="G18" s="239"/>
      <c r="H18" s="239"/>
    </row>
    <row r="19" spans="1:8" s="132" customFormat="1" x14ac:dyDescent="0.25">
      <c r="A19" s="239"/>
      <c r="B19" s="239"/>
      <c r="C19" s="239"/>
      <c r="D19" s="239"/>
      <c r="E19" s="239"/>
      <c r="F19" s="239"/>
      <c r="G19" s="239"/>
      <c r="H19" s="239"/>
    </row>
    <row r="20" spans="1:8" s="132" customFormat="1" x14ac:dyDescent="0.25">
      <c r="A20" s="239"/>
      <c r="B20" s="239"/>
      <c r="C20" s="239"/>
      <c r="D20" s="239"/>
      <c r="E20" s="239"/>
      <c r="F20" s="239"/>
      <c r="G20" s="239"/>
      <c r="H20" s="239"/>
    </row>
    <row r="21" spans="1:8" s="132" customFormat="1" x14ac:dyDescent="0.25">
      <c r="A21" s="239"/>
      <c r="B21" s="239"/>
      <c r="C21" s="239"/>
      <c r="D21" s="239"/>
      <c r="E21" s="239"/>
      <c r="F21" s="239"/>
      <c r="G21" s="239"/>
      <c r="H21" s="239"/>
    </row>
    <row r="22" spans="1:8" x14ac:dyDescent="0.25">
      <c r="A22" s="1360"/>
      <c r="B22" s="1360"/>
      <c r="C22" s="1360"/>
      <c r="D22" s="1360"/>
      <c r="E22" s="1360"/>
      <c r="F22" s="1360"/>
      <c r="G22" s="1360"/>
      <c r="H22" s="1360"/>
    </row>
    <row r="23" spans="1:8" x14ac:dyDescent="0.25">
      <c r="A23" s="1360"/>
      <c r="B23" s="1360"/>
      <c r="C23" s="1360"/>
      <c r="D23" s="1360"/>
      <c r="E23" s="1360"/>
      <c r="F23" s="1360"/>
      <c r="G23" s="1360"/>
      <c r="H23" s="1360"/>
    </row>
    <row r="24" spans="1:8" s="132" customFormat="1" x14ac:dyDescent="0.25">
      <c r="A24" s="239"/>
      <c r="B24" s="239"/>
      <c r="C24" s="239"/>
      <c r="D24" s="239"/>
      <c r="E24" s="239"/>
      <c r="F24" s="239"/>
      <c r="G24" s="239"/>
      <c r="H24" s="239"/>
    </row>
    <row r="25" spans="1:8" s="132" customFormat="1" x14ac:dyDescent="0.25">
      <c r="A25" s="239"/>
      <c r="B25" s="239"/>
      <c r="C25" s="239"/>
      <c r="D25" s="239"/>
      <c r="E25" s="239"/>
      <c r="F25" s="239"/>
      <c r="G25" s="239"/>
      <c r="H25" s="239"/>
    </row>
    <row r="26" spans="1:8" x14ac:dyDescent="0.25">
      <c r="A26" s="1360"/>
      <c r="B26" s="1360"/>
      <c r="C26" s="1360"/>
      <c r="D26" s="1360"/>
      <c r="E26" s="1360"/>
      <c r="F26" s="1360"/>
      <c r="G26" s="1360"/>
      <c r="H26" s="1360"/>
    </row>
    <row r="27" spans="1:8" x14ac:dyDescent="0.25">
      <c r="A27" s="1360"/>
      <c r="B27" s="1360"/>
      <c r="C27" s="1360"/>
      <c r="D27" s="1360"/>
      <c r="E27" s="1360"/>
      <c r="F27" s="1360"/>
      <c r="G27" s="1360"/>
      <c r="H27" s="1360"/>
    </row>
    <row r="28" spans="1:8" s="132" customFormat="1" x14ac:dyDescent="0.25">
      <c r="A28" s="238"/>
      <c r="B28" s="238"/>
      <c r="C28" s="238"/>
      <c r="D28" s="238"/>
      <c r="E28" s="238"/>
      <c r="F28" s="238"/>
      <c r="G28" s="238"/>
      <c r="H28" s="238"/>
    </row>
    <row r="29" spans="1:8" s="132" customFormat="1" x14ac:dyDescent="0.25">
      <c r="A29" s="238"/>
      <c r="B29" s="238"/>
      <c r="C29" s="238"/>
      <c r="D29" s="238"/>
      <c r="E29" s="238"/>
      <c r="F29" s="238"/>
      <c r="G29" s="238"/>
      <c r="H29" s="238"/>
    </row>
    <row r="31" spans="1:8" x14ac:dyDescent="0.25">
      <c r="A31" s="114" t="s">
        <v>329</v>
      </c>
    </row>
    <row r="33" spans="1:8" x14ac:dyDescent="0.25">
      <c r="C33" s="237" t="s">
        <v>328</v>
      </c>
      <c r="D33" s="1366"/>
      <c r="E33" s="1366"/>
      <c r="F33" s="1366"/>
      <c r="G33" s="1366"/>
      <c r="H33" s="1366"/>
    </row>
    <row r="35" spans="1:8" x14ac:dyDescent="0.25">
      <c r="A35" s="236" t="s">
        <v>106</v>
      </c>
      <c r="B35" s="1365" t="str">
        <f>IF(B6="","",B6)</f>
        <v/>
      </c>
      <c r="C35" s="1365"/>
      <c r="D35" s="1365"/>
      <c r="E35" s="1365"/>
      <c r="F35" s="1365"/>
      <c r="G35" s="1365"/>
      <c r="H35" s="1365"/>
    </row>
    <row r="39" spans="1:8" ht="17.399999999999999" x14ac:dyDescent="0.3">
      <c r="A39" s="114" t="s">
        <v>338</v>
      </c>
    </row>
    <row r="40" spans="1:8" x14ac:dyDescent="0.25">
      <c r="A40" s="114" t="s">
        <v>339</v>
      </c>
    </row>
  </sheetData>
  <sheetProtection password="A7D8" sheet="1" objects="1" scenarios="1" selectLockedCells="1"/>
  <mergeCells count="15">
    <mergeCell ref="A14:H14"/>
    <mergeCell ref="B35:H35"/>
    <mergeCell ref="D33:H33"/>
    <mergeCell ref="A15:H15"/>
    <mergeCell ref="A16:H16"/>
    <mergeCell ref="A22:H22"/>
    <mergeCell ref="A23:H23"/>
    <mergeCell ref="A26:H26"/>
    <mergeCell ref="A27:H27"/>
    <mergeCell ref="A13:H13"/>
    <mergeCell ref="A3:H3"/>
    <mergeCell ref="B6:H6"/>
    <mergeCell ref="B8:H8"/>
    <mergeCell ref="B10:H10"/>
    <mergeCell ref="A12:H12"/>
  </mergeCells>
  <printOptions horizontalCentered="1"/>
  <pageMargins left="0" right="0" top="0" bottom="0"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INICIO</vt:lpstr>
      <vt:lpstr>NACIONAL Y UN PAÍS  EXTRANJERO</vt:lpstr>
      <vt:lpstr>Datos1</vt:lpstr>
      <vt:lpstr>VARIOS PAÍSES EXTRANJERO</vt:lpstr>
      <vt:lpstr>INSTRUCCIONES</vt:lpstr>
      <vt:lpstr>ANEXO</vt:lpstr>
      <vt:lpstr>Datos3</vt:lpstr>
      <vt:lpstr>AYUDA DE DIETAS</vt:lpstr>
      <vt:lpstr>Declaracion responsable</vt:lpstr>
      <vt:lpstr>Ejemplo de anexo</vt:lpstr>
      <vt:lpstr>KM</vt:lpstr>
      <vt:lpstr>justifique su anticipo</vt:lpstr>
      <vt:lpstr>CONFERENCIANTES</vt:lpstr>
      <vt:lpstr>GLOBALIA</vt:lpstr>
      <vt:lpstr>IRPF</vt:lpstr>
      <vt:lpstr>CONFERENCIANTES!Área_de_impresión</vt:lpstr>
      <vt:lpstr>'NACIONAL Y UN PAÍS  EXTRANJERO'!Área_de_impresión</vt:lpstr>
      <vt:lpstr>'VARIOS PAÍSES EXTRANJERO'!Área_de_impresión</vt:lpstr>
      <vt:lpstr>PAISES</vt:lpstr>
    </vt:vector>
  </TitlesOfParts>
  <Company>INVESTIGACION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rafaela</dc:title>
  <dc:creator>RAFAELA MORON PRIMO</dc:creator>
  <cp:lastModifiedBy>Rafaela</cp:lastModifiedBy>
  <cp:lastPrinted>2022-10-05T11:48:16Z</cp:lastPrinted>
  <dcterms:created xsi:type="dcterms:W3CDTF">2007-01-15T11:14:33Z</dcterms:created>
  <dcterms:modified xsi:type="dcterms:W3CDTF">2022-10-05T14:09:35Z</dcterms:modified>
</cp:coreProperties>
</file>